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Files\חופש המידע\2018\עורכי דין מנהל תקין\תקציב וספר ספקים\"/>
    </mc:Choice>
  </mc:AlternateContent>
  <bookViews>
    <workbookView xWindow="0" yWindow="0" windowWidth="28800" windowHeight="12360" tabRatio="601"/>
  </bookViews>
  <sheets>
    <sheet name="פתיח" sheetId="24" r:id="rId1"/>
    <sheet name="טבלה 1 - התקציב הרגיל" sheetId="18" r:id="rId2"/>
    <sheet name="נספח 1 - גרעון מצטבר" sheetId="19" r:id="rId3"/>
    <sheet name="נספח 2 - הרכב הכנסות עצמיות" sheetId="13" r:id="rId4"/>
    <sheet name="נספח 3 - ריכוז תשלומים ותקבולים" sheetId="20" r:id="rId5"/>
    <sheet name="נספח 4- חסכון בשכר" sheetId="21" state="hidden" r:id="rId6"/>
    <sheet name="נספח 4 א' - פיטורים" sheetId="22" state="hidden" r:id="rId7"/>
    <sheet name="נספח 4 ב' - פרישה" sheetId="23" state="hidden" r:id="rId8"/>
    <sheet name="נספח 5-פעולות" sheetId="5" r:id="rId9"/>
    <sheet name="נספח 6 - פרעמ" sheetId="6" r:id="rId10"/>
    <sheet name="נספח 7 - תמיכות" sheetId="8" r:id="rId11"/>
    <sheet name="נספח 8-הכנסות" sheetId="7" r:id="rId12"/>
    <sheet name="נספח 9 - ביוב" sheetId="11" r:id="rId13"/>
    <sheet name="נספח 10 - גופי סמך" sheetId="9" r:id="rId14"/>
    <sheet name="גיליון1" sheetId="29" r:id="rId15"/>
    <sheet name="מוניצ" sheetId="25" state="hidden" r:id="rId16"/>
    <sheet name="חינוך" sheetId="26" state="hidden" r:id="rId17"/>
    <sheet name="רווחה" sheetId="28" state="hidden" r:id="rId18"/>
  </sheets>
  <externalReferences>
    <externalReference r:id="rId19"/>
    <externalReference r:id="rId20"/>
    <externalReference r:id="rId21"/>
  </externalReferences>
  <definedNames>
    <definedName name="_xlnm.Print_Titles" localSheetId="7">'נספח 4 ב'' - פרישה'!$1:$2</definedName>
  </definedNames>
  <calcPr calcId="162913"/>
</workbook>
</file>

<file path=xl/calcChain.xml><?xml version="1.0" encoding="utf-8"?>
<calcChain xmlns="http://schemas.openxmlformats.org/spreadsheetml/2006/main">
  <c r="D57" i="29" l="1"/>
  <c r="E57" i="29"/>
  <c r="E76" i="29" s="1"/>
  <c r="D46" i="29"/>
  <c r="D28" i="29"/>
  <c r="D47" i="29"/>
  <c r="D45" i="29"/>
  <c r="D44" i="29"/>
  <c r="D43" i="29"/>
  <c r="D42" i="29"/>
  <c r="D48" i="29"/>
  <c r="D30" i="29"/>
  <c r="D29" i="29"/>
  <c r="D27" i="29"/>
  <c r="D26" i="29"/>
  <c r="D25" i="29"/>
  <c r="D24" i="29"/>
  <c r="E85" i="29"/>
  <c r="E81" i="29"/>
  <c r="E80" i="29"/>
  <c r="C77" i="29"/>
  <c r="F75" i="29"/>
  <c r="F74" i="29"/>
  <c r="F72" i="29"/>
  <c r="F71" i="29"/>
  <c r="F70" i="29"/>
  <c r="F68" i="29"/>
  <c r="F67" i="29"/>
  <c r="F66" i="29"/>
  <c r="F65" i="29"/>
  <c r="F64" i="29"/>
  <c r="F63" i="29"/>
  <c r="F62" i="29"/>
  <c r="F61" i="29"/>
  <c r="F59" i="29"/>
  <c r="D54" i="29"/>
  <c r="J52" i="29" s="1"/>
  <c r="D53" i="29"/>
  <c r="K51" i="29" s="1"/>
  <c r="O49" i="29"/>
  <c r="N49" i="29"/>
  <c r="L49" i="29"/>
  <c r="K49" i="29"/>
  <c r="J49" i="29"/>
  <c r="I49" i="29"/>
  <c r="H49" i="29"/>
  <c r="G49" i="29"/>
  <c r="F49" i="29"/>
  <c r="E49" i="29"/>
  <c r="Q48" i="29"/>
  <c r="P48" i="29"/>
  <c r="Q47" i="29"/>
  <c r="P47" i="29"/>
  <c r="Q46" i="29"/>
  <c r="P46" i="29"/>
  <c r="Q45" i="29"/>
  <c r="P45" i="29"/>
  <c r="Q44" i="29"/>
  <c r="P44" i="29"/>
  <c r="Q42" i="29"/>
  <c r="Q49" i="29" s="1"/>
  <c r="P42" i="29"/>
  <c r="P49" i="29" s="1"/>
  <c r="D36" i="29"/>
  <c r="L34" i="29" s="1"/>
  <c r="D35" i="29"/>
  <c r="I33" i="29" s="1"/>
  <c r="O31" i="29"/>
  <c r="N31" i="29"/>
  <c r="L31" i="29"/>
  <c r="K31" i="29"/>
  <c r="J31" i="29"/>
  <c r="I31" i="29"/>
  <c r="H31" i="29"/>
  <c r="G31" i="29"/>
  <c r="F31" i="29"/>
  <c r="E31" i="29"/>
  <c r="Q30" i="29"/>
  <c r="P30" i="29"/>
  <c r="Q29" i="29"/>
  <c r="P29" i="29"/>
  <c r="Q28" i="29"/>
  <c r="P28" i="29"/>
  <c r="Q27" i="29"/>
  <c r="P27" i="29"/>
  <c r="Q26" i="29"/>
  <c r="P26" i="29"/>
  <c r="Q24" i="29"/>
  <c r="Q31" i="29" s="1"/>
  <c r="P24" i="29"/>
  <c r="P31" i="29" s="1"/>
  <c r="D18" i="29"/>
  <c r="D17" i="29"/>
  <c r="G15" i="29" s="1"/>
  <c r="L16" i="29"/>
  <c r="K16" i="29"/>
  <c r="J16" i="29"/>
  <c r="J10" i="29" s="1"/>
  <c r="I16" i="29"/>
  <c r="H16" i="29"/>
  <c r="G16" i="29"/>
  <c r="F16" i="29"/>
  <c r="F10" i="29" s="1"/>
  <c r="O13" i="29"/>
  <c r="N13" i="29"/>
  <c r="Q12" i="29"/>
  <c r="P12" i="29"/>
  <c r="Q11" i="29"/>
  <c r="P11" i="29"/>
  <c r="L11" i="29"/>
  <c r="K11" i="29"/>
  <c r="I11" i="29"/>
  <c r="H11" i="29"/>
  <c r="G11" i="29"/>
  <c r="E11" i="29"/>
  <c r="D11" i="29"/>
  <c r="Q10" i="29"/>
  <c r="P10" i="29"/>
  <c r="L10" i="29"/>
  <c r="K10" i="29"/>
  <c r="I10" i="29"/>
  <c r="H10" i="29"/>
  <c r="G10" i="29"/>
  <c r="E10" i="29"/>
  <c r="D10" i="29"/>
  <c r="Q9" i="29"/>
  <c r="P9" i="29"/>
  <c r="L9" i="29"/>
  <c r="K9" i="29"/>
  <c r="I9" i="29"/>
  <c r="H9" i="29"/>
  <c r="G9" i="29"/>
  <c r="E9" i="29"/>
  <c r="D9" i="29"/>
  <c r="Q8" i="29"/>
  <c r="P8" i="29"/>
  <c r="L8" i="29"/>
  <c r="K8" i="29"/>
  <c r="I8" i="29"/>
  <c r="H8" i="29"/>
  <c r="G8" i="29"/>
  <c r="E8" i="29"/>
  <c r="D8" i="29"/>
  <c r="Q7" i="29"/>
  <c r="Q13" i="29" s="1"/>
  <c r="P7" i="29"/>
  <c r="P13" i="29" s="1"/>
  <c r="L7" i="29"/>
  <c r="K7" i="29"/>
  <c r="I7" i="29"/>
  <c r="H7" i="29"/>
  <c r="G7" i="29"/>
  <c r="E7" i="29"/>
  <c r="D7" i="29"/>
  <c r="F7" i="29" l="1"/>
  <c r="J7" i="29"/>
  <c r="F9" i="29"/>
  <c r="J9" i="29"/>
  <c r="F11" i="29"/>
  <c r="J11" i="29"/>
  <c r="G51" i="29"/>
  <c r="I15" i="29"/>
  <c r="L52" i="29"/>
  <c r="F8" i="29"/>
  <c r="J8" i="29"/>
  <c r="E15" i="29"/>
  <c r="H52" i="29"/>
  <c r="E86" i="29"/>
  <c r="K33" i="29"/>
  <c r="I51" i="29"/>
  <c r="E82" i="29"/>
  <c r="F34" i="29"/>
  <c r="F12" i="29"/>
  <c r="D16" i="29"/>
  <c r="E51" i="29"/>
  <c r="F57" i="29"/>
  <c r="H34" i="29"/>
  <c r="G33" i="29"/>
  <c r="J34" i="29"/>
  <c r="D49" i="29"/>
  <c r="F76" i="29"/>
  <c r="D31" i="29"/>
  <c r="E77" i="29"/>
  <c r="D77" i="29" s="1"/>
  <c r="K15" i="29"/>
  <c r="E33" i="29"/>
  <c r="F52" i="29"/>
  <c r="C16" i="7"/>
  <c r="B16" i="7"/>
  <c r="D16" i="7"/>
  <c r="B17" i="7"/>
  <c r="H16" i="5"/>
  <c r="L7" i="5"/>
  <c r="L8" i="5"/>
  <c r="L9" i="5"/>
  <c r="L10" i="5"/>
  <c r="L11" i="5"/>
  <c r="L12" i="5"/>
  <c r="L13" i="5"/>
  <c r="J7" i="5"/>
  <c r="J8" i="5"/>
  <c r="J9" i="5"/>
  <c r="J10" i="5"/>
  <c r="J11" i="5"/>
  <c r="J12" i="5"/>
  <c r="J13" i="5"/>
  <c r="J6" i="5"/>
  <c r="F7" i="5"/>
  <c r="F8" i="5"/>
  <c r="F9" i="5"/>
  <c r="F10" i="5"/>
  <c r="F11" i="5"/>
  <c r="F12" i="5"/>
  <c r="F13" i="5"/>
  <c r="F6" i="5"/>
  <c r="D52" i="29" l="1"/>
  <c r="D51" i="29"/>
  <c r="D81" i="29"/>
  <c r="F81" i="29" s="1"/>
  <c r="D15" i="29"/>
  <c r="D34" i="29"/>
  <c r="D33" i="29"/>
  <c r="F7" i="11"/>
  <c r="E7" i="11"/>
  <c r="D7" i="11"/>
  <c r="C7" i="11"/>
  <c r="B7" i="11"/>
  <c r="I8" i="8"/>
  <c r="I7" i="8"/>
  <c r="I9" i="8"/>
  <c r="I10" i="8"/>
  <c r="I11" i="8"/>
  <c r="I13" i="8"/>
  <c r="I14" i="8"/>
  <c r="I15" i="8"/>
  <c r="I16" i="8"/>
  <c r="I6" i="8"/>
  <c r="J13" i="8"/>
  <c r="H13" i="8"/>
  <c r="D80" i="29" l="1"/>
  <c r="D82" i="29"/>
  <c r="F82" i="29" s="1"/>
  <c r="F80" i="29"/>
  <c r="K11" i="6"/>
  <c r="F17" i="5"/>
  <c r="F18" i="5"/>
  <c r="AK19" i="20"/>
  <c r="AK27" i="20"/>
  <c r="AI28" i="20"/>
  <c r="N46" i="20"/>
  <c r="M22" i="20"/>
  <c r="N19" i="20"/>
  <c r="I17" i="8"/>
  <c r="E46" i="20" l="1"/>
  <c r="E45" i="20"/>
  <c r="E44" i="20"/>
  <c r="D37" i="20"/>
  <c r="D30" i="20"/>
  <c r="D29" i="20"/>
  <c r="D28" i="20"/>
  <c r="D27" i="20"/>
  <c r="D19" i="20"/>
  <c r="D18" i="20"/>
  <c r="D16" i="20"/>
  <c r="D11" i="20"/>
  <c r="D10" i="20"/>
  <c r="D9" i="20"/>
  <c r="D7" i="20"/>
  <c r="AB27" i="20"/>
  <c r="AB18" i="20"/>
  <c r="AB46" i="20" l="1"/>
  <c r="Z28" i="20"/>
  <c r="AF28" i="20"/>
  <c r="AL28" i="20"/>
  <c r="AO28" i="20"/>
  <c r="AF27" i="20"/>
  <c r="AL27" i="20"/>
  <c r="AO27" i="20"/>
  <c r="AQ19" i="20" l="1"/>
  <c r="AN19" i="20"/>
  <c r="AH19" i="20"/>
  <c r="AB19" i="20"/>
  <c r="J22" i="20" l="1"/>
  <c r="T49" i="20"/>
  <c r="S22" i="20"/>
  <c r="P22" i="20"/>
  <c r="T46" i="20" l="1"/>
  <c r="Q46" i="20"/>
  <c r="Q47" i="20" s="1"/>
  <c r="K46" i="20"/>
  <c r="J7" i="20"/>
  <c r="J9" i="20"/>
  <c r="R27" i="20" l="1"/>
  <c r="O44" i="20"/>
  <c r="O27" i="20"/>
  <c r="L27" i="20"/>
  <c r="I27" i="20"/>
  <c r="P27" i="20" l="1"/>
  <c r="M31" i="18" l="1"/>
  <c r="M34" i="18"/>
  <c r="M25" i="18"/>
  <c r="K49" i="18"/>
  <c r="K31" i="18"/>
  <c r="K17" i="18"/>
  <c r="H37" i="18"/>
  <c r="H34" i="18"/>
  <c r="H31" i="18"/>
  <c r="H25" i="18"/>
  <c r="G31" i="18"/>
  <c r="G17" i="18"/>
  <c r="K5" i="21" l="1"/>
  <c r="AH45" i="20"/>
  <c r="J16" i="7" l="1"/>
  <c r="E16" i="7"/>
  <c r="M16" i="7"/>
  <c r="K16" i="7" s="1"/>
  <c r="G16" i="7"/>
  <c r="L6" i="18"/>
  <c r="I6" i="18"/>
  <c r="H16" i="7" l="1"/>
  <c r="I9" i="18" l="1"/>
  <c r="F12" i="11" l="1"/>
  <c r="J30" i="20"/>
  <c r="J27" i="20"/>
  <c r="I49" i="20"/>
  <c r="J44" i="20"/>
  <c r="J37" i="20"/>
  <c r="J28" i="20"/>
  <c r="J29" i="20"/>
  <c r="J17" i="20"/>
  <c r="J18" i="20"/>
  <c r="J19" i="20"/>
  <c r="J25" i="20"/>
  <c r="J16" i="20"/>
  <c r="I29" i="18" l="1"/>
  <c r="I30" i="18"/>
  <c r="I32" i="18"/>
  <c r="I33" i="18"/>
  <c r="I35" i="18"/>
  <c r="I36" i="18"/>
  <c r="I38" i="18"/>
  <c r="I39" i="18"/>
  <c r="I41" i="18"/>
  <c r="I42" i="18"/>
  <c r="I44" i="18"/>
  <c r="I45" i="18"/>
  <c r="I47" i="18"/>
  <c r="I28" i="18"/>
  <c r="I19" i="18"/>
  <c r="I21" i="18"/>
  <c r="I22" i="18"/>
  <c r="I24" i="18"/>
  <c r="I7" i="18"/>
  <c r="I8" i="18"/>
  <c r="I10" i="18"/>
  <c r="I12" i="18"/>
  <c r="I13" i="18"/>
  <c r="I14" i="18"/>
  <c r="I15" i="18"/>
  <c r="I16" i="18"/>
  <c r="L7" i="18"/>
  <c r="I31" i="18" l="1"/>
  <c r="I40" i="18"/>
  <c r="I37" i="18"/>
  <c r="I34" i="18"/>
  <c r="I17" i="18"/>
  <c r="I11" i="18"/>
  <c r="I43" i="18" l="1"/>
  <c r="I46" i="18" s="1"/>
  <c r="I48" i="18" s="1"/>
  <c r="AD21" i="23"/>
  <c r="AC21" i="23"/>
  <c r="AB21" i="23"/>
  <c r="AA21" i="23"/>
  <c r="Z21" i="23"/>
  <c r="Y21" i="23"/>
  <c r="X21" i="23"/>
  <c r="W21" i="23"/>
  <c r="V21" i="23"/>
  <c r="U21" i="23"/>
  <c r="T21" i="23"/>
  <c r="S21" i="23"/>
  <c r="AE20" i="23"/>
  <c r="AH20" i="23" s="1"/>
  <c r="AH19" i="23"/>
  <c r="AH18" i="23"/>
  <c r="AG17" i="23"/>
  <c r="AH17" i="23" s="1"/>
  <c r="AH16" i="23"/>
  <c r="AH15" i="23"/>
  <c r="AH14" i="23"/>
  <c r="AE13" i="23"/>
  <c r="AH13" i="23" s="1"/>
  <c r="AE12" i="23"/>
  <c r="AH12" i="23" s="1"/>
  <c r="AE11" i="23"/>
  <c r="AH11" i="23" s="1"/>
  <c r="AE10" i="23"/>
  <c r="AH10" i="23" s="1"/>
  <c r="AE9" i="23"/>
  <c r="AH9" i="23" s="1"/>
  <c r="AE8" i="23"/>
  <c r="AH8" i="23" s="1"/>
  <c r="AE7" i="23"/>
  <c r="AH7" i="23" s="1"/>
  <c r="AH6" i="23"/>
  <c r="AE5" i="23"/>
  <c r="AF28" i="23" s="1"/>
  <c r="A2" i="23"/>
  <c r="AG21" i="23" l="1"/>
  <c r="AH5" i="23"/>
  <c r="AH21" i="23" s="1"/>
  <c r="AE21" i="23"/>
  <c r="AF27" i="23" l="1"/>
  <c r="AF29" i="23" s="1"/>
  <c r="D12" i="11"/>
  <c r="L24" i="20"/>
  <c r="F14" i="8" l="1"/>
  <c r="N31" i="21" l="1"/>
  <c r="K31" i="21"/>
  <c r="G31" i="21"/>
  <c r="L31" i="21" s="1"/>
  <c r="D31" i="21"/>
  <c r="C31" i="21"/>
  <c r="B31" i="21"/>
  <c r="D18" i="21"/>
  <c r="C18" i="21"/>
  <c r="B18" i="21"/>
  <c r="C5" i="21"/>
  <c r="B5" i="21"/>
  <c r="D5" i="21"/>
  <c r="I5" i="21" s="1"/>
  <c r="N18" i="21"/>
  <c r="K18" i="21"/>
  <c r="G18" i="21"/>
  <c r="N5" i="21"/>
  <c r="O5" i="21" s="1"/>
  <c r="G5" i="21"/>
  <c r="L5" i="21" s="1"/>
  <c r="S14" i="22"/>
  <c r="O31" i="21" l="1"/>
  <c r="O18" i="21"/>
  <c r="L18" i="21"/>
  <c r="I31" i="21"/>
  <c r="I18" i="21"/>
  <c r="E5" i="21"/>
  <c r="E31" i="21"/>
  <c r="E18" i="21"/>
  <c r="AQ24" i="20"/>
  <c r="L17" i="5"/>
  <c r="J17" i="5"/>
  <c r="H19" i="5"/>
  <c r="K19" i="5"/>
  <c r="I18" i="5"/>
  <c r="J18" i="5"/>
  <c r="L18" i="5"/>
  <c r="E29" i="7"/>
  <c r="E27" i="7"/>
  <c r="E25" i="7"/>
  <c r="J23" i="7"/>
  <c r="E23" i="7"/>
  <c r="M23" i="7"/>
  <c r="J21" i="7"/>
  <c r="E21" i="7"/>
  <c r="M21" i="7"/>
  <c r="J19" i="7"/>
  <c r="E19" i="7"/>
  <c r="M19" i="7"/>
  <c r="J17" i="7"/>
  <c r="E17" i="7"/>
  <c r="M17" i="7"/>
  <c r="C17" i="7"/>
  <c r="H14" i="5"/>
  <c r="F16" i="8"/>
  <c r="K11" i="8"/>
  <c r="D13" i="11"/>
  <c r="AL45" i="20" l="1"/>
  <c r="AI45" i="20"/>
  <c r="J12" i="13" l="1"/>
  <c r="I12" i="13"/>
  <c r="F12" i="13"/>
  <c r="I7" i="13"/>
  <c r="F7" i="13"/>
  <c r="I13" i="13" l="1"/>
  <c r="M17" i="18"/>
  <c r="K34" i="18"/>
  <c r="L6" i="5" l="1"/>
  <c r="A2" i="21"/>
  <c r="AC14" i="22"/>
  <c r="AB14" i="22"/>
  <c r="Z14" i="22"/>
  <c r="V14" i="22"/>
  <c r="T14" i="22"/>
  <c r="A2" i="22"/>
  <c r="K24" i="5"/>
  <c r="E24" i="5"/>
  <c r="D24" i="5"/>
  <c r="C24" i="5"/>
  <c r="I23" i="5"/>
  <c r="G23" i="5"/>
  <c r="G24" i="5" s="1"/>
  <c r="F23" i="5"/>
  <c r="L22" i="5"/>
  <c r="J22" i="5"/>
  <c r="I22" i="5"/>
  <c r="F22" i="5"/>
  <c r="J21" i="5"/>
  <c r="F21" i="5"/>
  <c r="I16" i="5"/>
  <c r="I19" i="5" s="1"/>
  <c r="G19" i="5"/>
  <c r="E19" i="5"/>
  <c r="D19" i="5"/>
  <c r="C19" i="5"/>
  <c r="I13" i="5"/>
  <c r="I12" i="5"/>
  <c r="I7" i="5"/>
  <c r="I6" i="5"/>
  <c r="D14" i="5"/>
  <c r="C14" i="5"/>
  <c r="A2" i="5"/>
  <c r="E14" i="5" l="1"/>
  <c r="E25" i="5" s="1"/>
  <c r="AB17" i="22"/>
  <c r="I24" i="5"/>
  <c r="D25" i="5"/>
  <c r="C25" i="5"/>
  <c r="K14" i="5"/>
  <c r="K25" i="5" s="1"/>
  <c r="G14" i="5"/>
  <c r="G25" i="5" s="1"/>
  <c r="L21" i="5"/>
  <c r="I14" i="5"/>
  <c r="I25" i="5" s="1"/>
  <c r="F24" i="5"/>
  <c r="F14" i="5"/>
  <c r="F16" i="5"/>
  <c r="F19" i="5" s="1"/>
  <c r="AO45" i="20"/>
  <c r="R49" i="20"/>
  <c r="O49" i="20"/>
  <c r="L49" i="20"/>
  <c r="F25" i="5" l="1"/>
  <c r="J14" i="5"/>
  <c r="L14" i="5"/>
  <c r="J16" i="5"/>
  <c r="J19" i="5" s="1"/>
  <c r="L16" i="5"/>
  <c r="L19" i="5" s="1"/>
  <c r="H24" i="5"/>
  <c r="J23" i="5"/>
  <c r="J24" i="5" s="1"/>
  <c r="L23" i="5"/>
  <c r="L24" i="5" s="1"/>
  <c r="L25" i="5" l="1"/>
  <c r="H25" i="5"/>
  <c r="J25" i="5"/>
  <c r="G12" i="13" l="1"/>
  <c r="N35" i="28"/>
  <c r="L35" i="28"/>
  <c r="J35" i="28"/>
  <c r="I30" i="28"/>
  <c r="N28" i="28"/>
  <c r="L28" i="28"/>
  <c r="J28" i="28"/>
  <c r="M27" i="28"/>
  <c r="M36" i="28" s="1"/>
  <c r="K27" i="28"/>
  <c r="K36" i="28" s="1"/>
  <c r="H27" i="28"/>
  <c r="H36" i="28" s="1"/>
  <c r="N25" i="28"/>
  <c r="L25" i="28"/>
  <c r="J25" i="28"/>
  <c r="N20" i="28"/>
  <c r="L20" i="28"/>
  <c r="J20" i="28"/>
  <c r="M200" i="26"/>
  <c r="L200" i="26"/>
  <c r="K200" i="26"/>
  <c r="J200" i="26"/>
  <c r="I200" i="26"/>
  <c r="H200" i="26"/>
  <c r="M196" i="26"/>
  <c r="K196" i="26"/>
  <c r="I196" i="26"/>
  <c r="M193" i="26"/>
  <c r="K193" i="26"/>
  <c r="I193" i="26"/>
  <c r="M191" i="26"/>
  <c r="K191" i="26"/>
  <c r="I191" i="26"/>
  <c r="M188" i="26"/>
  <c r="K188" i="26"/>
  <c r="I188" i="26"/>
  <c r="M185" i="26"/>
  <c r="K185" i="26"/>
  <c r="I185" i="26"/>
  <c r="M175" i="26"/>
  <c r="K175" i="26"/>
  <c r="I175" i="26"/>
  <c r="M173" i="26"/>
  <c r="K173" i="26"/>
  <c r="I173" i="26"/>
  <c r="M171" i="26"/>
  <c r="K171" i="26"/>
  <c r="I171" i="26"/>
  <c r="M169" i="26"/>
  <c r="K169" i="26"/>
  <c r="I169" i="26"/>
  <c r="M167" i="26"/>
  <c r="K167" i="26"/>
  <c r="I167" i="26"/>
  <c r="M144" i="26"/>
  <c r="M148" i="26" s="1"/>
  <c r="K144" i="26"/>
  <c r="K148" i="26" s="1"/>
  <c r="I144" i="26"/>
  <c r="I148" i="26" s="1"/>
  <c r="M132" i="26"/>
  <c r="K132" i="26"/>
  <c r="I132" i="26"/>
  <c r="M124" i="26"/>
  <c r="K124" i="26"/>
  <c r="I124" i="26"/>
  <c r="M111" i="26"/>
  <c r="K111" i="26"/>
  <c r="I111" i="26"/>
  <c r="M109" i="26"/>
  <c r="K109" i="26"/>
  <c r="I109" i="26"/>
  <c r="M90" i="26"/>
  <c r="K90" i="26"/>
  <c r="I90" i="26"/>
  <c r="M82" i="26"/>
  <c r="K82" i="26"/>
  <c r="I82" i="26"/>
  <c r="M77" i="26"/>
  <c r="K77" i="26"/>
  <c r="I77" i="26"/>
  <c r="M75" i="26"/>
  <c r="K75" i="26"/>
  <c r="I75" i="26"/>
  <c r="M73" i="26"/>
  <c r="K73" i="26"/>
  <c r="I73" i="26"/>
  <c r="M70" i="26"/>
  <c r="K70" i="26"/>
  <c r="I70" i="26"/>
  <c r="M67" i="26"/>
  <c r="K67" i="26"/>
  <c r="I67" i="26"/>
  <c r="M62" i="26"/>
  <c r="K62" i="26"/>
  <c r="I62" i="26"/>
  <c r="M56" i="26"/>
  <c r="K56" i="26"/>
  <c r="I56" i="26"/>
  <c r="M52" i="26"/>
  <c r="K52" i="26"/>
  <c r="I52" i="26"/>
  <c r="M36" i="26"/>
  <c r="K36" i="26"/>
  <c r="I36" i="26"/>
  <c r="M7" i="26"/>
  <c r="K7" i="26"/>
  <c r="I7" i="26"/>
  <c r="M146" i="25"/>
  <c r="L146" i="25"/>
  <c r="J146" i="25"/>
  <c r="H146" i="25"/>
  <c r="I139" i="25"/>
  <c r="K136" i="25"/>
  <c r="K146" i="25" s="1"/>
  <c r="I136" i="25"/>
  <c r="M80" i="25"/>
  <c r="L80" i="25"/>
  <c r="K80" i="25"/>
  <c r="J80" i="25"/>
  <c r="I80" i="25"/>
  <c r="H80" i="25"/>
  <c r="M76" i="25"/>
  <c r="L76" i="25"/>
  <c r="K76" i="25"/>
  <c r="J76" i="25"/>
  <c r="I76" i="25"/>
  <c r="H76" i="25"/>
  <c r="M74" i="25"/>
  <c r="L74" i="25"/>
  <c r="K74" i="25"/>
  <c r="J74" i="25"/>
  <c r="I74" i="25"/>
  <c r="H74" i="25"/>
  <c r="M69" i="25"/>
  <c r="K69" i="25"/>
  <c r="I69" i="25"/>
  <c r="M64" i="25"/>
  <c r="K64" i="25"/>
  <c r="I64" i="25"/>
  <c r="M62" i="25"/>
  <c r="K62" i="25"/>
  <c r="I62" i="25"/>
  <c r="M58" i="25"/>
  <c r="K58" i="25"/>
  <c r="I58" i="25"/>
  <c r="M56" i="25"/>
  <c r="L56" i="25"/>
  <c r="K56" i="25"/>
  <c r="J56" i="25"/>
  <c r="I56" i="25"/>
  <c r="H56" i="25"/>
  <c r="M48" i="25"/>
  <c r="L48" i="25"/>
  <c r="K48" i="25"/>
  <c r="J48" i="25"/>
  <c r="I48" i="25"/>
  <c r="H48" i="25"/>
  <c r="M44" i="25"/>
  <c r="L44" i="25"/>
  <c r="K44" i="25"/>
  <c r="J44" i="25"/>
  <c r="I44" i="25"/>
  <c r="H44" i="25"/>
  <c r="M42" i="25"/>
  <c r="K42" i="25"/>
  <c r="I42" i="25"/>
  <c r="M40" i="25"/>
  <c r="K40" i="25"/>
  <c r="I40" i="25"/>
  <c r="M37" i="25"/>
  <c r="K37" i="25"/>
  <c r="I37" i="25"/>
  <c r="M35" i="25"/>
  <c r="K35" i="25"/>
  <c r="I35" i="25"/>
  <c r="M33" i="25"/>
  <c r="L33" i="25"/>
  <c r="K33" i="25"/>
  <c r="J33" i="25"/>
  <c r="I33" i="25"/>
  <c r="H33" i="25"/>
  <c r="M28" i="25"/>
  <c r="K28" i="25"/>
  <c r="I28" i="25"/>
  <c r="M26" i="25"/>
  <c r="K26" i="25"/>
  <c r="I26" i="25"/>
  <c r="M24" i="25"/>
  <c r="L24" i="25"/>
  <c r="K24" i="25"/>
  <c r="J24" i="25"/>
  <c r="I24" i="25"/>
  <c r="H24" i="25"/>
  <c r="M21" i="25"/>
  <c r="K21" i="25"/>
  <c r="I21" i="25"/>
  <c r="M12" i="25"/>
  <c r="K12" i="25"/>
  <c r="I12" i="25"/>
  <c r="M9" i="25"/>
  <c r="K9" i="25"/>
  <c r="I9" i="25"/>
  <c r="M7" i="25"/>
  <c r="K7" i="25"/>
  <c r="I7" i="25"/>
  <c r="M5" i="25"/>
  <c r="L5" i="25"/>
  <c r="K5" i="25"/>
  <c r="J5" i="25"/>
  <c r="I5" i="25"/>
  <c r="H5" i="25"/>
  <c r="I146" i="25" l="1"/>
  <c r="M148" i="25"/>
  <c r="M201" i="26"/>
  <c r="K148" i="25"/>
  <c r="I201" i="26"/>
  <c r="K201" i="26"/>
  <c r="L36" i="28"/>
  <c r="J36" i="28"/>
  <c r="N36" i="28"/>
  <c r="I148" i="25"/>
  <c r="K7" i="8" l="1"/>
  <c r="K8" i="8"/>
  <c r="K9" i="8"/>
  <c r="K10" i="8"/>
  <c r="K12" i="8"/>
  <c r="K13" i="8"/>
  <c r="K15" i="8"/>
  <c r="K16" i="8"/>
  <c r="K6" i="8"/>
  <c r="J17" i="8"/>
  <c r="K14" i="8"/>
  <c r="K17" i="8" l="1"/>
  <c r="N47" i="20" l="1"/>
  <c r="F40" i="18"/>
  <c r="G40" i="18" l="1"/>
  <c r="G37" i="18"/>
  <c r="G34" i="18"/>
  <c r="G11" i="18"/>
  <c r="G20" i="18" s="1"/>
  <c r="B39" i="18"/>
  <c r="G23" i="18" l="1"/>
  <c r="G25" i="18" s="1"/>
  <c r="G43" i="18"/>
  <c r="G46" i="18" s="1"/>
  <c r="G48" i="18" s="1"/>
  <c r="N49" i="20" s="1"/>
  <c r="E27" i="13"/>
  <c r="C12" i="11"/>
  <c r="G49" i="18" l="1"/>
  <c r="AK49" i="20"/>
  <c r="C11" i="11"/>
  <c r="C13" i="11" s="1"/>
  <c r="B11" i="11"/>
  <c r="B13" i="11" s="1"/>
  <c r="G13" i="11"/>
  <c r="E13" i="11"/>
  <c r="F13" i="11" l="1"/>
  <c r="B15" i="11"/>
  <c r="G9" i="11" l="1"/>
  <c r="G15" i="11" s="1"/>
  <c r="E15" i="11"/>
  <c r="AC47" i="20" l="1"/>
  <c r="AD47" i="20"/>
  <c r="AE47" i="20"/>
  <c r="AC41" i="20"/>
  <c r="AD41" i="20"/>
  <c r="AE41" i="20"/>
  <c r="AC34" i="20"/>
  <c r="AD34" i="20"/>
  <c r="AE34" i="20"/>
  <c r="AC24" i="20"/>
  <c r="AD24" i="20"/>
  <c r="AE24" i="20"/>
  <c r="AC13" i="20"/>
  <c r="AD13" i="20"/>
  <c r="AE13" i="20"/>
  <c r="H46" i="20"/>
  <c r="G46" i="20" s="1"/>
  <c r="I46" i="20"/>
  <c r="J46" i="20" s="1"/>
  <c r="I40" i="20"/>
  <c r="J33" i="20"/>
  <c r="J32" i="20"/>
  <c r="J31" i="20"/>
  <c r="J23" i="20"/>
  <c r="J21" i="20"/>
  <c r="J20" i="20"/>
  <c r="J24" i="20" s="1"/>
  <c r="I10" i="20"/>
  <c r="J10" i="20" s="1"/>
  <c r="I11" i="20"/>
  <c r="J11" i="20" s="1"/>
  <c r="F7" i="20"/>
  <c r="G45" i="20"/>
  <c r="G38" i="20"/>
  <c r="G40" i="20"/>
  <c r="G28" i="20"/>
  <c r="G29" i="20"/>
  <c r="G30" i="20"/>
  <c r="G31" i="20"/>
  <c r="G32" i="20"/>
  <c r="G33" i="20"/>
  <c r="G17" i="20"/>
  <c r="G18" i="20"/>
  <c r="G19" i="20"/>
  <c r="G20" i="20"/>
  <c r="G21" i="20"/>
  <c r="G23" i="20"/>
  <c r="G44" i="20"/>
  <c r="G37" i="20"/>
  <c r="G27" i="20"/>
  <c r="G16" i="20"/>
  <c r="G10" i="20"/>
  <c r="G11" i="20"/>
  <c r="G9" i="20"/>
  <c r="G7" i="20"/>
  <c r="K13" i="20" l="1"/>
  <c r="I13" i="20"/>
  <c r="AC48" i="20"/>
  <c r="K41" i="20"/>
  <c r="AD48" i="20"/>
  <c r="J13" i="20"/>
  <c r="I41" i="20"/>
  <c r="I47" i="20"/>
  <c r="AE48" i="20"/>
  <c r="K34" i="20"/>
  <c r="K24" i="20"/>
  <c r="J47" i="20"/>
  <c r="J41" i="20"/>
  <c r="I34" i="20"/>
  <c r="J34" i="20"/>
  <c r="I24" i="20"/>
  <c r="J48" i="20" l="1"/>
  <c r="I48" i="20"/>
  <c r="M29" i="7"/>
  <c r="M27" i="7"/>
  <c r="M25" i="7"/>
  <c r="J25" i="7"/>
  <c r="J29" i="7"/>
  <c r="J27" i="7"/>
  <c r="C27" i="7"/>
  <c r="AL47" i="20"/>
  <c r="AM47" i="20"/>
  <c r="AN47" i="20"/>
  <c r="AO47" i="20"/>
  <c r="AP47" i="20"/>
  <c r="AQ47" i="20"/>
  <c r="AK47" i="20"/>
  <c r="AL41" i="20"/>
  <c r="AM41" i="20"/>
  <c r="AN41" i="20"/>
  <c r="AO41" i="20"/>
  <c r="AP41" i="20"/>
  <c r="AQ41" i="20"/>
  <c r="AK41" i="20"/>
  <c r="AL34" i="20"/>
  <c r="AM34" i="20"/>
  <c r="AN34" i="20"/>
  <c r="AO34" i="20"/>
  <c r="AP34" i="20"/>
  <c r="AQ34" i="20"/>
  <c r="AK34" i="20"/>
  <c r="AL24" i="20"/>
  <c r="AM24" i="20"/>
  <c r="AN24" i="20"/>
  <c r="AO24" i="20"/>
  <c r="AP24" i="20"/>
  <c r="AK24" i="20"/>
  <c r="AK13" i="20"/>
  <c r="AL13" i="20"/>
  <c r="AM13" i="20"/>
  <c r="AN13" i="20"/>
  <c r="AO13" i="20"/>
  <c r="AP13" i="20"/>
  <c r="AQ13" i="20"/>
  <c r="AG41" i="20"/>
  <c r="AG47" i="20"/>
  <c r="AG34" i="20"/>
  <c r="AG24" i="20"/>
  <c r="AG13" i="20"/>
  <c r="AI41" i="20"/>
  <c r="AI47" i="20"/>
  <c r="AI34" i="20"/>
  <c r="AI24" i="20"/>
  <c r="AI13" i="20"/>
  <c r="AJ41" i="20"/>
  <c r="AJ47" i="20"/>
  <c r="AJ34" i="20"/>
  <c r="AJ24" i="20"/>
  <c r="AJ13" i="20"/>
  <c r="AB41" i="20"/>
  <c r="AB47" i="20"/>
  <c r="AB34" i="20"/>
  <c r="AB24" i="20"/>
  <c r="AB13" i="20"/>
  <c r="M7" i="20"/>
  <c r="M45" i="20"/>
  <c r="M46" i="20"/>
  <c r="M44" i="20"/>
  <c r="M38" i="20"/>
  <c r="M40" i="20"/>
  <c r="M28" i="20"/>
  <c r="M29" i="20"/>
  <c r="M30" i="20"/>
  <c r="M27" i="20"/>
  <c r="M31" i="20"/>
  <c r="M32" i="20"/>
  <c r="M33" i="20"/>
  <c r="M17" i="20"/>
  <c r="M18" i="20"/>
  <c r="M19" i="20"/>
  <c r="M20" i="20"/>
  <c r="M21" i="20"/>
  <c r="M23" i="20"/>
  <c r="M37" i="20"/>
  <c r="M16" i="20"/>
  <c r="M10" i="20"/>
  <c r="M11" i="20"/>
  <c r="M9" i="20"/>
  <c r="E16" i="13"/>
  <c r="E15" i="13"/>
  <c r="E14" i="13"/>
  <c r="Q41" i="20"/>
  <c r="Q34" i="20"/>
  <c r="Q24" i="20"/>
  <c r="Q13" i="20"/>
  <c r="T47" i="20"/>
  <c r="T41" i="20"/>
  <c r="T34" i="20"/>
  <c r="T24" i="20"/>
  <c r="T12" i="20"/>
  <c r="T13" i="20" s="1"/>
  <c r="T48" i="20" s="1"/>
  <c r="S7" i="20"/>
  <c r="P7" i="20"/>
  <c r="S45" i="20"/>
  <c r="S44" i="20"/>
  <c r="S38" i="20"/>
  <c r="S37" i="20"/>
  <c r="S40" i="20"/>
  <c r="S28" i="20"/>
  <c r="S29" i="20"/>
  <c r="S30" i="20"/>
  <c r="S31" i="20"/>
  <c r="S32" i="20"/>
  <c r="S33" i="20"/>
  <c r="S27" i="20"/>
  <c r="S17" i="20"/>
  <c r="S18" i="20"/>
  <c r="S19" i="20"/>
  <c r="S20" i="20"/>
  <c r="S21" i="20"/>
  <c r="S23" i="20"/>
  <c r="S16" i="20"/>
  <c r="S9" i="20"/>
  <c r="S10" i="20"/>
  <c r="S11" i="20"/>
  <c r="P45" i="20"/>
  <c r="P44" i="20"/>
  <c r="P38" i="20"/>
  <c r="P37" i="20"/>
  <c r="P40" i="20"/>
  <c r="P28" i="20"/>
  <c r="P29" i="20"/>
  <c r="P30" i="20"/>
  <c r="P31" i="20"/>
  <c r="P32" i="20"/>
  <c r="P33" i="20"/>
  <c r="P17" i="20"/>
  <c r="P18" i="20"/>
  <c r="P19" i="20"/>
  <c r="P20" i="20"/>
  <c r="P21" i="20"/>
  <c r="P23" i="20"/>
  <c r="P16" i="20"/>
  <c r="P9" i="20"/>
  <c r="P10" i="20"/>
  <c r="P11" i="20"/>
  <c r="P12" i="20"/>
  <c r="F47" i="20"/>
  <c r="G47" i="20"/>
  <c r="H47" i="20"/>
  <c r="L47" i="20"/>
  <c r="O47" i="20"/>
  <c r="R47" i="20"/>
  <c r="L34" i="20"/>
  <c r="F41" i="20"/>
  <c r="F34" i="20"/>
  <c r="F24" i="20"/>
  <c r="F13" i="20"/>
  <c r="O41" i="20"/>
  <c r="O34" i="20"/>
  <c r="O24" i="20"/>
  <c r="O13" i="20"/>
  <c r="G41" i="20"/>
  <c r="H41" i="20"/>
  <c r="L41" i="20"/>
  <c r="N41" i="20"/>
  <c r="R41" i="20"/>
  <c r="E41" i="20"/>
  <c r="G34" i="20"/>
  <c r="H34" i="20"/>
  <c r="N34" i="20"/>
  <c r="R34" i="20"/>
  <c r="E34" i="20"/>
  <c r="G24" i="20"/>
  <c r="H24" i="20"/>
  <c r="N24" i="20"/>
  <c r="R24" i="20"/>
  <c r="E24" i="20"/>
  <c r="G13" i="20"/>
  <c r="H13" i="20"/>
  <c r="L13" i="20"/>
  <c r="N13" i="20"/>
  <c r="R13" i="20"/>
  <c r="E13" i="20"/>
  <c r="E47" i="20"/>
  <c r="E12" i="13"/>
  <c r="H12" i="13"/>
  <c r="H7" i="13"/>
  <c r="J7" i="13"/>
  <c r="E7" i="13"/>
  <c r="D13" i="13"/>
  <c r="L45" i="18"/>
  <c r="L42" i="18"/>
  <c r="L39" i="18"/>
  <c r="L33" i="18"/>
  <c r="L35" i="18"/>
  <c r="L36" i="18"/>
  <c r="L47" i="18"/>
  <c r="L44" i="18"/>
  <c r="L41" i="18"/>
  <c r="L38" i="18"/>
  <c r="L32" i="18"/>
  <c r="L29" i="18"/>
  <c r="L30" i="18"/>
  <c r="L28" i="18"/>
  <c r="L24" i="18"/>
  <c r="L22" i="18"/>
  <c r="L21" i="18"/>
  <c r="L19" i="18"/>
  <c r="L18" i="18"/>
  <c r="L13" i="18"/>
  <c r="L14" i="18"/>
  <c r="L15" i="18"/>
  <c r="L16" i="18"/>
  <c r="L12" i="18"/>
  <c r="L8" i="18"/>
  <c r="L9" i="18"/>
  <c r="L10" i="18"/>
  <c r="D17" i="8"/>
  <c r="E17" i="8"/>
  <c r="F17" i="8"/>
  <c r="H17" i="8"/>
  <c r="C17" i="8"/>
  <c r="F13" i="13"/>
  <c r="C13" i="13"/>
  <c r="B29" i="7"/>
  <c r="B27" i="7"/>
  <c r="B25" i="7"/>
  <c r="B23" i="7"/>
  <c r="B21" i="7"/>
  <c r="B19" i="7"/>
  <c r="C29" i="7"/>
  <c r="C25" i="7"/>
  <c r="C23" i="7"/>
  <c r="C21" i="7"/>
  <c r="C19" i="7"/>
  <c r="D31" i="7"/>
  <c r="E31" i="7"/>
  <c r="F31" i="7"/>
  <c r="L31" i="7"/>
  <c r="F31" i="18"/>
  <c r="F34" i="18"/>
  <c r="F37" i="18"/>
  <c r="G27" i="7"/>
  <c r="G19" i="7"/>
  <c r="G23" i="7"/>
  <c r="G25" i="7"/>
  <c r="F17" i="18"/>
  <c r="F11" i="18"/>
  <c r="G16" i="8"/>
  <c r="H18" i="21"/>
  <c r="H5" i="21"/>
  <c r="G21" i="7"/>
  <c r="C13" i="6"/>
  <c r="D13" i="6"/>
  <c r="F13" i="6"/>
  <c r="G13" i="6"/>
  <c r="H13" i="6"/>
  <c r="I13" i="6"/>
  <c r="J13" i="6"/>
  <c r="K13" i="6"/>
  <c r="Z13" i="20"/>
  <c r="W12" i="20"/>
  <c r="W13" i="20" s="1"/>
  <c r="X46" i="20"/>
  <c r="X47" i="20" s="1"/>
  <c r="X40" i="20"/>
  <c r="X37" i="20"/>
  <c r="X9" i="20"/>
  <c r="X8" i="20"/>
  <c r="X7" i="20"/>
  <c r="W47" i="20"/>
  <c r="Z47" i="20"/>
  <c r="AA47" i="20"/>
  <c r="Y47" i="20"/>
  <c r="W41" i="20"/>
  <c r="Z41" i="20"/>
  <c r="Y41" i="20"/>
  <c r="W34" i="20"/>
  <c r="X34" i="20"/>
  <c r="Z34" i="20"/>
  <c r="AA34" i="20"/>
  <c r="Y34" i="20"/>
  <c r="W24" i="20"/>
  <c r="X24" i="20"/>
  <c r="Z24" i="20"/>
  <c r="AA24" i="20"/>
  <c r="Y24" i="20"/>
  <c r="Y13" i="20"/>
  <c r="D23" i="20"/>
  <c r="C47" i="20"/>
  <c r="C41" i="20"/>
  <c r="C24" i="20"/>
  <c r="C13" i="20"/>
  <c r="D40" i="18"/>
  <c r="E40" i="18"/>
  <c r="K40" i="18"/>
  <c r="M40" i="18"/>
  <c r="B40" i="18"/>
  <c r="C37" i="18"/>
  <c r="D37" i="18"/>
  <c r="E37" i="18"/>
  <c r="K37" i="18"/>
  <c r="M37" i="18"/>
  <c r="B37" i="18"/>
  <c r="C34" i="18"/>
  <c r="D34" i="18"/>
  <c r="E34" i="18"/>
  <c r="B34" i="18"/>
  <c r="C31" i="18"/>
  <c r="D31" i="18"/>
  <c r="E31" i="18"/>
  <c r="B31" i="18"/>
  <c r="C17" i="18"/>
  <c r="D17" i="18"/>
  <c r="E17" i="18"/>
  <c r="B17" i="18"/>
  <c r="C11" i="18"/>
  <c r="D11" i="18"/>
  <c r="D20" i="18" s="1"/>
  <c r="D23" i="18" s="1"/>
  <c r="D25" i="18" s="1"/>
  <c r="E11" i="18"/>
  <c r="K11" i="18"/>
  <c r="K20" i="18" s="1"/>
  <c r="M11" i="18"/>
  <c r="M20" i="18" s="1"/>
  <c r="M23" i="18" s="1"/>
  <c r="B11" i="18"/>
  <c r="I2" i="8"/>
  <c r="L2" i="7" s="1"/>
  <c r="G1" i="11" s="1"/>
  <c r="K2" i="9" s="1"/>
  <c r="AQ14" i="20"/>
  <c r="AQ25" i="20"/>
  <c r="AQ35" i="20"/>
  <c r="AQ42" i="20"/>
  <c r="AB14" i="20"/>
  <c r="AB25" i="20"/>
  <c r="AB35" i="20"/>
  <c r="AB42" i="20"/>
  <c r="Y14" i="20"/>
  <c r="Y25" i="20"/>
  <c r="Y35" i="20"/>
  <c r="Y42" i="20"/>
  <c r="T14" i="20"/>
  <c r="T25" i="20"/>
  <c r="T35" i="20"/>
  <c r="T42" i="20"/>
  <c r="E14" i="20"/>
  <c r="E25" i="20"/>
  <c r="E35" i="20"/>
  <c r="A2" i="19"/>
  <c r="AQ48" i="20" l="1"/>
  <c r="Q48" i="20"/>
  <c r="AK48" i="20"/>
  <c r="N48" i="20"/>
  <c r="C20" i="18"/>
  <c r="C23" i="18" s="1"/>
  <c r="C25" i="18" s="1"/>
  <c r="E13" i="6"/>
  <c r="C40" i="18"/>
  <c r="D43" i="18"/>
  <c r="D46" i="18" s="1"/>
  <c r="D48" i="18" s="1"/>
  <c r="G29" i="7"/>
  <c r="H29" i="7" s="1"/>
  <c r="I18" i="18"/>
  <c r="I20" i="18" s="1"/>
  <c r="I23" i="18" s="1"/>
  <c r="I25" i="18" s="1"/>
  <c r="I49" i="18" s="1"/>
  <c r="B20" i="18"/>
  <c r="B23" i="18" s="1"/>
  <c r="B25" i="18" s="1"/>
  <c r="AQ49" i="20"/>
  <c r="O48" i="20"/>
  <c r="X41" i="20"/>
  <c r="G17" i="8"/>
  <c r="H13" i="13"/>
  <c r="K23" i="18"/>
  <c r="K25" i="18" s="1"/>
  <c r="D41" i="20"/>
  <c r="AB48" i="20"/>
  <c r="C43" i="18"/>
  <c r="C46" i="18" s="1"/>
  <c r="C48" i="18" s="1"/>
  <c r="H31" i="21"/>
  <c r="B31" i="7"/>
  <c r="E43" i="18"/>
  <c r="E46" i="18" s="1"/>
  <c r="E48" i="18" s="1"/>
  <c r="C31" i="7"/>
  <c r="F8" i="11"/>
  <c r="G7" i="13"/>
  <c r="G13" i="13" s="1"/>
  <c r="D34" i="20"/>
  <c r="G17" i="7"/>
  <c r="Y48" i="20"/>
  <c r="L17" i="18"/>
  <c r="E20" i="18"/>
  <c r="E23" i="18" s="1"/>
  <c r="E25" i="18" s="1"/>
  <c r="AN48" i="20"/>
  <c r="S41" i="20"/>
  <c r="P41" i="20"/>
  <c r="M24" i="20"/>
  <c r="M41" i="20"/>
  <c r="P13" i="20"/>
  <c r="M13" i="20"/>
  <c r="L37" i="18"/>
  <c r="M43" i="18"/>
  <c r="M46" i="18" s="1"/>
  <c r="M31" i="7"/>
  <c r="L40" i="18"/>
  <c r="L11" i="18"/>
  <c r="S34" i="20"/>
  <c r="S13" i="20"/>
  <c r="J13" i="13"/>
  <c r="K43" i="18"/>
  <c r="K46" i="18" s="1"/>
  <c r="K48" i="18" s="1"/>
  <c r="Q49" i="20" s="1"/>
  <c r="L31" i="18"/>
  <c r="AO48" i="20"/>
  <c r="AL48" i="20"/>
  <c r="B43" i="18"/>
  <c r="B46" i="18" s="1"/>
  <c r="B48" i="18" s="1"/>
  <c r="S24" i="20"/>
  <c r="AM48" i="20"/>
  <c r="AP48" i="20"/>
  <c r="H19" i="7"/>
  <c r="D49" i="18"/>
  <c r="D13" i="20"/>
  <c r="D24" i="20"/>
  <c r="D47" i="20"/>
  <c r="AI48" i="20"/>
  <c r="H25" i="7"/>
  <c r="E13" i="13"/>
  <c r="P24" i="20"/>
  <c r="P34" i="20"/>
  <c r="AJ48" i="20"/>
  <c r="K25" i="7"/>
  <c r="AA13" i="20"/>
  <c r="AA41" i="20"/>
  <c r="L34" i="18"/>
  <c r="E48" i="20"/>
  <c r="M34" i="20"/>
  <c r="K19" i="7"/>
  <c r="M47" i="20"/>
  <c r="H40" i="18"/>
  <c r="F43" i="18"/>
  <c r="H27" i="7"/>
  <c r="H23" i="7"/>
  <c r="H17" i="18"/>
  <c r="H21" i="7"/>
  <c r="F20" i="18"/>
  <c r="F23" i="18" s="1"/>
  <c r="F25" i="18" s="1"/>
  <c r="H11" i="18"/>
  <c r="A2" i="13"/>
  <c r="K21" i="7"/>
  <c r="K29" i="7"/>
  <c r="K23" i="7"/>
  <c r="K17" i="7"/>
  <c r="K27" i="7"/>
  <c r="C34" i="20"/>
  <c r="C48" i="20" s="1"/>
  <c r="R48" i="20"/>
  <c r="L48" i="20"/>
  <c r="X12" i="20"/>
  <c r="X13" i="20" s="1"/>
  <c r="X48" i="20" s="1"/>
  <c r="S46" i="20"/>
  <c r="S47" i="20" s="1"/>
  <c r="W48" i="20"/>
  <c r="Z48" i="20"/>
  <c r="AG48" i="20"/>
  <c r="H48" i="20"/>
  <c r="F48" i="20"/>
  <c r="G48" i="20"/>
  <c r="L20" i="18" l="1"/>
  <c r="L23" i="18" s="1"/>
  <c r="L25" i="18" s="1"/>
  <c r="C49" i="18"/>
  <c r="B49" i="18"/>
  <c r="M48" i="18"/>
  <c r="G31" i="7"/>
  <c r="H17" i="7"/>
  <c r="H31" i="7" s="1"/>
  <c r="D48" i="20"/>
  <c r="E49" i="18"/>
  <c r="F15" i="11"/>
  <c r="AN49" i="20"/>
  <c r="S48" i="20"/>
  <c r="L43" i="18"/>
  <c r="L46" i="18" s="1"/>
  <c r="L48" i="18" s="1"/>
  <c r="M48" i="20"/>
  <c r="F46" i="18"/>
  <c r="F48" i="18" s="1"/>
  <c r="F49" i="18" s="1"/>
  <c r="K31" i="7"/>
  <c r="AA48" i="20"/>
  <c r="H43" i="18"/>
  <c r="H46" i="18" s="1"/>
  <c r="H48" i="18" s="1"/>
  <c r="H20" i="18"/>
  <c r="H23" i="18" s="1"/>
  <c r="M49" i="18" l="1"/>
  <c r="L49" i="18"/>
  <c r="K49" i="20"/>
  <c r="H49" i="18"/>
  <c r="AH49" i="20"/>
  <c r="P46" i="20"/>
  <c r="P47" i="20" s="1"/>
  <c r="P48" i="20" s="1"/>
  <c r="K47" i="20" l="1"/>
  <c r="K48" i="20" s="1"/>
  <c r="AF13" i="20"/>
  <c r="AF34" i="20"/>
  <c r="AH34" i="20"/>
  <c r="AF24" i="20"/>
  <c r="AF41" i="20"/>
  <c r="AH41" i="20"/>
  <c r="AF47" i="20"/>
  <c r="AH47" i="20"/>
  <c r="AH13" i="20" l="1"/>
  <c r="AH24" i="20"/>
  <c r="AF48" i="20"/>
  <c r="AH48" i="20" l="1"/>
  <c r="D15" i="11" l="1"/>
  <c r="C15" i="11"/>
  <c r="D42" i="20"/>
  <c r="E42" i="20"/>
</calcChain>
</file>

<file path=xl/sharedStrings.xml><?xml version="1.0" encoding="utf-8"?>
<sst xmlns="http://schemas.openxmlformats.org/spreadsheetml/2006/main" count="2467" uniqueCount="1104">
  <si>
    <t>מועצה מקומית עוספייה</t>
  </si>
  <si>
    <t xml:space="preserve">תכנית הבראה </t>
  </si>
  <si>
    <t>טבלה 1: התקציב הרגיל ע"פ תכנית ההבראה של הרשות (אלפי ₪)</t>
  </si>
  <si>
    <t>הסעיף התקציבי</t>
  </si>
  <si>
    <t>מסגרת התקציב לשנת 2015 ע"פ תכנית ההבראה</t>
  </si>
  <si>
    <t>מסגרת התקציב לשנת 2016 ע"פ תכנית ההבראה</t>
  </si>
  <si>
    <t>מסגרת התקציב לשנת 2016</t>
  </si>
  <si>
    <t>ביצוע מצטבר 06/2016</t>
  </si>
  <si>
    <t>תחזית ביצוע לשנת 2016 (מחירים שוטפים)</t>
  </si>
  <si>
    <t>שינויים כולל התייעלות</t>
  </si>
  <si>
    <t>מס' פירוט / הסבר לשינויים כולל התייעלות</t>
  </si>
  <si>
    <t>מסגרת תקציב לשנת 2017</t>
  </si>
  <si>
    <t>מסגרת תקציב לשנת 2018</t>
  </si>
  <si>
    <t>צד ההכנסות</t>
  </si>
  <si>
    <t>ארנונה כללית</t>
  </si>
  <si>
    <t>נספח 8</t>
  </si>
  <si>
    <t>מפעל המים</t>
  </si>
  <si>
    <t>עצמיות חינוך</t>
  </si>
  <si>
    <t>עצמיות רווחה</t>
  </si>
  <si>
    <t>עצמיות אחר</t>
  </si>
  <si>
    <t>סה"כ הכנסות עצמיות</t>
  </si>
  <si>
    <t>תקבולים ממשרד החינוך</t>
  </si>
  <si>
    <t>תקבולים ממשרד הרווחה</t>
  </si>
  <si>
    <t>תקבולים ממשלתיים אחרים</t>
  </si>
  <si>
    <t>מענק כללי לאיזון</t>
  </si>
  <si>
    <t>מענקים אחרים ממשרד הפנים</t>
  </si>
  <si>
    <t>סה"כ תקבולי ממשלה</t>
  </si>
  <si>
    <t>תקבולים אחרים</t>
  </si>
  <si>
    <t>הכנסות ח"פ ובגין שנים קודמות</t>
  </si>
  <si>
    <t>סה"כ הכנסות לפני הנחות בארנונה וכיסוי גרעון נצבר</t>
  </si>
  <si>
    <t>הנחות בארנונה</t>
  </si>
  <si>
    <t>הכנסה לכיסוי גרעון נצבר</t>
  </si>
  <si>
    <t>סה"כ הכנסות ללא מותנה</t>
  </si>
  <si>
    <t>הכנסה מותנה</t>
  </si>
  <si>
    <t>סה"כ הכנסות כולל מותנה</t>
  </si>
  <si>
    <t>צד ההוצאות</t>
  </si>
  <si>
    <t>שכר כללי</t>
  </si>
  <si>
    <t>נספחי 4</t>
  </si>
  <si>
    <t xml:space="preserve">פעולות כלליות </t>
  </si>
  <si>
    <t>נספח 5</t>
  </si>
  <si>
    <t>סה"כ הוצאות כלליות</t>
  </si>
  <si>
    <t>שכר עובדי חינוך</t>
  </si>
  <si>
    <t>פעולות חינוך</t>
  </si>
  <si>
    <t>סה"כ חינוך</t>
  </si>
  <si>
    <t>שכר עובדי רווחה</t>
  </si>
  <si>
    <t>פעולות רווחה</t>
  </si>
  <si>
    <t>סה"כ רווחה</t>
  </si>
  <si>
    <t>פרעון-מלוות מים וביוב</t>
  </si>
  <si>
    <t>נספח 6</t>
  </si>
  <si>
    <t>פרעון-מלוות אחר</t>
  </si>
  <si>
    <t>סה"כ פרעון-מלוות</t>
  </si>
  <si>
    <t>הוצאות מימון</t>
  </si>
  <si>
    <t>הוצאות ח"פ ובגין שנים קודמות</t>
  </si>
  <si>
    <t>סה"כ הוצאות לפני הנחות בארנונה וכיסוי גרעון נצבר</t>
  </si>
  <si>
    <t>הוצאה לכיסוי גרעון נצבר</t>
  </si>
  <si>
    <t>סה"כ הוצאות ללא מותנה</t>
  </si>
  <si>
    <t>הוצאה מותנה</t>
  </si>
  <si>
    <t>סה"כ הוצאות כולל מותנה</t>
  </si>
  <si>
    <t>עודף (גרעון)</t>
  </si>
  <si>
    <t>_____________</t>
  </si>
  <si>
    <t>ראש הרשות</t>
  </si>
  <si>
    <t>גזבר הרשות</t>
  </si>
  <si>
    <t>חותמת הרשות</t>
  </si>
  <si>
    <t>תאריך</t>
  </si>
  <si>
    <t>נספח 1: פירוט הגרעון המצטבר</t>
  </si>
  <si>
    <t>נתוני הגרעון המצטבר</t>
  </si>
  <si>
    <t>גרעון מצטבר בתקציב הרגיל</t>
  </si>
  <si>
    <t>גרעון סופי מצטבר בפיתוח</t>
  </si>
  <si>
    <t>גרעון זמני בפיתוח</t>
  </si>
  <si>
    <t>עודפים זמנים</t>
  </si>
  <si>
    <t>קרנות</t>
  </si>
  <si>
    <t>גרעון מצטבר תקציב רגיל</t>
  </si>
  <si>
    <t>בנקים , משיכות יתר והלוואות</t>
  </si>
  <si>
    <t>משרדי ממשלה ומוסדות שכר*</t>
  </si>
  <si>
    <t>ספקים וזכאים**</t>
  </si>
  <si>
    <t>במידה ותוכנית ההבראה מוגשת לאחר הגשת דו"ח סקור יש לצרף הנתונים בהתאם לדו"ח זה</t>
  </si>
  <si>
    <t>* עבור משרדי ממשלה ומוסדות שכר יש לפרט החובות עבור כל גוף</t>
  </si>
  <si>
    <t>** ספקים וזכאים, יש לציין מתוך סכום זה כמה מיועד לאיגודי ערים, מתנ"ס, חברות עירוניות וגופים נתמכים</t>
  </si>
  <si>
    <t>_______________</t>
  </si>
  <si>
    <t>נספח 2: הרכב הכנסות עצמיות והוצאות מקבילות בתקציב הרגיל</t>
  </si>
  <si>
    <t>תקציב שנת 2016</t>
  </si>
  <si>
    <t>תקציב שנת 2017</t>
  </si>
  <si>
    <t>תקציב שנת 2018</t>
  </si>
  <si>
    <t>הערות</t>
  </si>
  <si>
    <t>פרעון מלוות מים</t>
  </si>
  <si>
    <t>פרעון מלוות ביוב</t>
  </si>
  <si>
    <t>פרעון מלוות כבישים</t>
  </si>
  <si>
    <t>פרעון מלוות תיעול</t>
  </si>
  <si>
    <t>פרעון מלוות לפיתוח אחר</t>
  </si>
  <si>
    <t>סה"כ פרעון מלוות לפיתוח</t>
  </si>
  <si>
    <t>פרעון מלוות שלא לפיתוח</t>
  </si>
  <si>
    <t xml:space="preserve">סה"כ פרעון מלוות </t>
  </si>
  <si>
    <t>מחלקת הנדסה (פרק 73)</t>
  </si>
  <si>
    <t>סה"כ הוצאות מים (פרק 91)</t>
  </si>
  <si>
    <t>סה"כ הוצאות ביוב (פרק 97)</t>
  </si>
  <si>
    <t>אגרות בניה</t>
  </si>
  <si>
    <t>העברה מקרן היטלי השבחה</t>
  </si>
  <si>
    <t>העברה מקרן היטלי מים</t>
  </si>
  <si>
    <t>העברה מקרן היטלי ביוב</t>
  </si>
  <si>
    <t>העברה מקרן היטלי כבישים</t>
  </si>
  <si>
    <t>העברה מקרן היטלי תיעול</t>
  </si>
  <si>
    <t>מכירת נכסים</t>
  </si>
  <si>
    <t>אגרות ביוב</t>
  </si>
  <si>
    <t>אגרות מים</t>
  </si>
  <si>
    <t>נספח 3: ריכוז תשלומים ותקבולים בתקציב הרגיל (אלפי ₪)</t>
  </si>
  <si>
    <t>תשלומים</t>
  </si>
  <si>
    <t>תקבולים</t>
  </si>
  <si>
    <t>ביצוע 2014</t>
  </si>
  <si>
    <t>תקציב 2016</t>
  </si>
  <si>
    <t>תקציב 2017</t>
  </si>
  <si>
    <t>תקציב 2018</t>
  </si>
  <si>
    <t>ביצוע 2015</t>
  </si>
  <si>
    <t>מס' פרק</t>
  </si>
  <si>
    <t>שם הפרק</t>
  </si>
  <si>
    <t>שכר</t>
  </si>
  <si>
    <t>פעולות</t>
  </si>
  <si>
    <t>סה"כ</t>
  </si>
  <si>
    <t>ממשלה</t>
  </si>
  <si>
    <t>עצמיות</t>
  </si>
  <si>
    <t>הנהלה וכלליות</t>
  </si>
  <si>
    <t>מיסים ומענקים</t>
  </si>
  <si>
    <t>נבחרים</t>
  </si>
  <si>
    <t>ארנונות</t>
  </si>
  <si>
    <t>מנהל כללי</t>
  </si>
  <si>
    <t>הנחות ארנונה</t>
  </si>
  <si>
    <t>מנהל כספי</t>
  </si>
  <si>
    <t>אגרות</t>
  </si>
  <si>
    <t>היטלים</t>
  </si>
  <si>
    <t>פרעון מלוות</t>
  </si>
  <si>
    <t>מכסות</t>
  </si>
  <si>
    <t>מענקים כלליים</t>
  </si>
  <si>
    <t>סה"כ 6</t>
  </si>
  <si>
    <t>סה"כ 1</t>
  </si>
  <si>
    <t>שירותים מקומיים</t>
  </si>
  <si>
    <t>שרותים מקומיים</t>
  </si>
  <si>
    <t>תברואה</t>
  </si>
  <si>
    <t>שמירה וביטחון</t>
  </si>
  <si>
    <t>תכנון ובניין עיר</t>
  </si>
  <si>
    <t>נכסים ציבוריים</t>
  </si>
  <si>
    <t>חגיגות ואירועים</t>
  </si>
  <si>
    <t>שרותים שונים</t>
  </si>
  <si>
    <t>פיקוח עירוני</t>
  </si>
  <si>
    <t>סה"כ 7</t>
  </si>
  <si>
    <t>סה"כ 2</t>
  </si>
  <si>
    <t>שרותים ממלכתיים</t>
  </si>
  <si>
    <t>חינוך</t>
  </si>
  <si>
    <t>תרבות</t>
  </si>
  <si>
    <t>בריאות</t>
  </si>
  <si>
    <t>רווחה</t>
  </si>
  <si>
    <t>דת</t>
  </si>
  <si>
    <t>קליטת עליה</t>
  </si>
  <si>
    <t>איכות סביבה</t>
  </si>
  <si>
    <t>סה"כ 8</t>
  </si>
  <si>
    <t>סה"כ 3</t>
  </si>
  <si>
    <t>מפעלים</t>
  </si>
  <si>
    <t>מים</t>
  </si>
  <si>
    <t>נכסים</t>
  </si>
  <si>
    <t>מפעל הביוב</t>
  </si>
  <si>
    <t>סה"כ 91-98</t>
  </si>
  <si>
    <t>סה"כ 4</t>
  </si>
  <si>
    <t>תשלומים בלתי רגילים</t>
  </si>
  <si>
    <t>תקבולים בלתי רגילים</t>
  </si>
  <si>
    <t>פנסיה</t>
  </si>
  <si>
    <t>הלוואות</t>
  </si>
  <si>
    <t>הוצ' מיוחדות</t>
  </si>
  <si>
    <t>אחרות</t>
  </si>
  <si>
    <t>סה"כ 99</t>
  </si>
  <si>
    <t>סה"כ 5</t>
  </si>
  <si>
    <t>סה"כ תשלומים</t>
  </si>
  <si>
    <t>סה"כ תקבולים</t>
  </si>
  <si>
    <t>נספח 4: ריכוז החסכון בסעיפי השכר</t>
  </si>
  <si>
    <t>נושא</t>
  </si>
  <si>
    <t>חסכון 2015</t>
  </si>
  <si>
    <t>הסבר מפורט</t>
  </si>
  <si>
    <t>חסכון 2016</t>
  </si>
  <si>
    <t>חסכון 2017</t>
  </si>
  <si>
    <t>חסכון 2018</t>
  </si>
  <si>
    <t>פיטורי עובדים</t>
  </si>
  <si>
    <t>פרישת עובדים</t>
  </si>
  <si>
    <t>צמצום השעות נוספות</t>
  </si>
  <si>
    <t>צמצום אחזקת רכב</t>
  </si>
  <si>
    <t>חד פעמי</t>
  </si>
  <si>
    <t>תיקוני חריגות שכר</t>
  </si>
  <si>
    <t>עידוד צמיחה</t>
  </si>
  <si>
    <t>תוספות שכר (-)</t>
  </si>
  <si>
    <t>משרות חדשות (-)</t>
  </si>
  <si>
    <t>אחר -הסכם</t>
  </si>
  <si>
    <t>שכר חינוך</t>
  </si>
  <si>
    <t>שכר רווחה</t>
  </si>
  <si>
    <t>נספח 4 א': פירוט העובדים המיועדים לפיטורים ועלויות הפרישה</t>
  </si>
  <si>
    <t>מס' סידורי</t>
  </si>
  <si>
    <t>תעודת זהות</t>
  </si>
  <si>
    <t>שם העובד</t>
  </si>
  <si>
    <t>הגדרת תפקיד</t>
  </si>
  <si>
    <t>תאריך תחילת עבודה</t>
  </si>
  <si>
    <t>תאריך סיום עבודה</t>
  </si>
  <si>
    <t>סה"כ שנים כולל רציפות זכויות</t>
  </si>
  <si>
    <t>שעור משרה משוקלל</t>
  </si>
  <si>
    <t>גיל בעת הפיטורים</t>
  </si>
  <si>
    <t>מתח דרגות</t>
  </si>
  <si>
    <t>דרגה בחודש 8/98</t>
  </si>
  <si>
    <t>דרגה עדכנית</t>
  </si>
  <si>
    <t>דרגה בעת הפיטורים</t>
  </si>
  <si>
    <t>תוספות שכר אחוזיות בחודש 8/98</t>
  </si>
  <si>
    <t>תוספות שכר אחוזיות בחודש עדכני</t>
  </si>
  <si>
    <t>תוספות שכר אחרות בחודש 8/98</t>
  </si>
  <si>
    <t>תוספות שכר אחרות בחודש עדכני</t>
  </si>
  <si>
    <t>האם המשרה מבוטלת?</t>
  </si>
  <si>
    <t>שכר ממוצע</t>
  </si>
  <si>
    <t>שכר אחרון (משכורת קובעת לפיצויי פיטורים)</t>
  </si>
  <si>
    <t>חודשי הסתגלות</t>
  </si>
  <si>
    <t>הודעה מוקדמת</t>
  </si>
  <si>
    <t>פיצוי פיטורים</t>
  </si>
  <si>
    <t>פידיון ימי חופשה</t>
  </si>
  <si>
    <t>כמות</t>
  </si>
  <si>
    <t>עלות</t>
  </si>
  <si>
    <t xml:space="preserve">כמות </t>
  </si>
  <si>
    <t>אחוז</t>
  </si>
  <si>
    <t>נספח 4 א': פירוט העובדים המיועדים לפרישה ועלויות הפרישה</t>
  </si>
  <si>
    <t>גיל בעת הפרישה</t>
  </si>
  <si>
    <t>דרגת פרישה</t>
  </si>
  <si>
    <t>שכר אחרון (משכורת קובעת לפנסיה)</t>
  </si>
  <si>
    <t>מענק פרישה</t>
  </si>
  <si>
    <t>שעור הפנסיה</t>
  </si>
  <si>
    <t>פידיון ימי מחלה</t>
  </si>
  <si>
    <t>לפי חוק</t>
  </si>
  <si>
    <t>הגדלה בשל ביטול משרה</t>
  </si>
  <si>
    <t>הגדלה בשל בריאות</t>
  </si>
  <si>
    <t>נספח 5 - פירוט קיצוץ בפעולות</t>
  </si>
  <si>
    <t>פרק-סעיף</t>
  </si>
  <si>
    <t>הנושא</t>
  </si>
  <si>
    <t>תקציב 2016 ע"פ תכנית הבראה מקורית</t>
  </si>
  <si>
    <t>הוצאה חזויה ב- 2016</t>
  </si>
  <si>
    <t>הסבר לשינויים</t>
  </si>
  <si>
    <t>פעולות כלליות</t>
  </si>
  <si>
    <t>סה"כ קיצוץ</t>
  </si>
  <si>
    <t>שם הרשות:</t>
  </si>
  <si>
    <t>נספח 6 - פרעון מלוות ומימון</t>
  </si>
  <si>
    <t>תקציב מקורי 2016 ע"פ תכנית הבראה</t>
  </si>
  <si>
    <t>חזוי 2016</t>
  </si>
  <si>
    <t>2018 ע"פ עומס מלוות קיים</t>
  </si>
  <si>
    <t>2018 בתוספת אשראי חדש *</t>
  </si>
  <si>
    <t>פרעון מלוות ביוב מקורי</t>
  </si>
  <si>
    <t>מחזור ביוב</t>
  </si>
  <si>
    <t>פרעון מלוות אחר</t>
  </si>
  <si>
    <t>סה"כ פרעון מלוות</t>
  </si>
  <si>
    <t>* להציג היקף הלוואות חדשות.</t>
  </si>
  <si>
    <t xml:space="preserve">יש להציג את עומס המלוות בשנה הנוכחית </t>
  </si>
  <si>
    <t>נספח 7 - פירוט תמיכות והשתתפויות (אלפי ₪)</t>
  </si>
  <si>
    <t>שם גוף נתמך</t>
  </si>
  <si>
    <t>הוצאה חזויה ב- 2018</t>
  </si>
  <si>
    <t>חסכון ב-  2018</t>
  </si>
  <si>
    <t>הסבר</t>
  </si>
  <si>
    <t>רשות הניקוז</t>
  </si>
  <si>
    <t>איגוד ערים לכבאות</t>
  </si>
  <si>
    <t>השתתפות בהוצאות הוועדה במקומית לתכנון ולבנייה</t>
  </si>
  <si>
    <t>השתתפות במגן דוד אדום</t>
  </si>
  <si>
    <t>השתתפות בהג"א ארצי</t>
  </si>
  <si>
    <t>השתתפות בהג"א מקומי</t>
  </si>
  <si>
    <t>מבוא הכרמל - פארק הכרמל</t>
  </si>
  <si>
    <t>נספח 8 - פירוט שינויים בהכנסה</t>
  </si>
  <si>
    <t>תוספת ב-  2018</t>
  </si>
  <si>
    <t xml:space="preserve">ארנונה למגורים </t>
  </si>
  <si>
    <t>גידול שטחים</t>
  </si>
  <si>
    <t>העלאה חריגה</t>
  </si>
  <si>
    <t>אכיפת גביה (פיגורים נוספים)</t>
  </si>
  <si>
    <t>ארנונה שלא למגורים</t>
  </si>
  <si>
    <t xml:space="preserve"> עצמיות *</t>
  </si>
  <si>
    <t>משרד הרווחה</t>
  </si>
  <si>
    <t>משרד החינוך</t>
  </si>
  <si>
    <t>ממשלתי אחר *</t>
  </si>
  <si>
    <t>מענק איזון</t>
  </si>
  <si>
    <t>מענקים מיועדים ממשרד הפנים, למעט מענק האיזון *</t>
  </si>
  <si>
    <t>תקבולים אחרים *</t>
  </si>
  <si>
    <t>יש לצרף טבלת תעריפים משוקללים בהתאם לפירוט הבא:</t>
  </si>
  <si>
    <t>סיווג</t>
  </si>
  <si>
    <t>מגורים</t>
  </si>
  <si>
    <t>משרדים שרותים ומסחר</t>
  </si>
  <si>
    <t>תעשייה</t>
  </si>
  <si>
    <t>מלאכה</t>
  </si>
  <si>
    <t>קרקע תפוסה</t>
  </si>
  <si>
    <t>בנקים</t>
  </si>
  <si>
    <t>* יש לפרט את סכומי ההכנסות הצפויים לרשות, לפי סעיפיהם</t>
  </si>
  <si>
    <t>נספח 9 - מפעל ביוב</t>
  </si>
  <si>
    <t>שנה</t>
  </si>
  <si>
    <t>הוצאות</t>
  </si>
  <si>
    <t>סה"כ הוצאות שוטפות לתפעול ואחזקת מערכת הביוב</t>
  </si>
  <si>
    <t>פרעון הלוואות ביוב</t>
  </si>
  <si>
    <t>סה"כ הוצאות</t>
  </si>
  <si>
    <t>הכנסות</t>
  </si>
  <si>
    <t>אגרת ביוב</t>
  </si>
  <si>
    <t>העברה מקרנות הביוב לתקציב הרגיל</t>
  </si>
  <si>
    <t>סה"כ הכנסות</t>
  </si>
  <si>
    <t>נספח 10 - פירוט חברות עירוניות וגופי סמך</t>
  </si>
  <si>
    <t>מס"ד</t>
  </si>
  <si>
    <t>שם החברה / גוף</t>
  </si>
  <si>
    <t>גרעון / עודף</t>
  </si>
  <si>
    <t>מספר עובדים</t>
  </si>
  <si>
    <t>שנת הקמה</t>
  </si>
  <si>
    <t>מספר העובדים והגרעון / עודף בהתאם לדו"ח המבוקר / סקור אחרון</t>
  </si>
  <si>
    <t>גזבר</t>
  </si>
  <si>
    <t xml:space="preserve"> ביצוע 2016- 1-6</t>
  </si>
  <si>
    <t xml:space="preserve"> ביצוע 1-6/2016</t>
  </si>
  <si>
    <t>עודף / (גרעון) שוטף</t>
  </si>
  <si>
    <t>העברת מלוות לתאגיד</t>
  </si>
  <si>
    <t>כולל מלוות חדשות</t>
  </si>
  <si>
    <t>מועצה מקומית עוספיה</t>
  </si>
  <si>
    <t>תקציב שכר מוניצפלי לשנת 2016</t>
  </si>
  <si>
    <t>מס' עובדים</t>
  </si>
  <si>
    <t>משפחה</t>
  </si>
  <si>
    <t>פרטי</t>
  </si>
  <si>
    <t>ת.ז</t>
  </si>
  <si>
    <t xml:space="preserve">מחלקה </t>
  </si>
  <si>
    <t>שם מחלקה</t>
  </si>
  <si>
    <t>תאור תפקיד</t>
  </si>
  <si>
    <t>משרה</t>
  </si>
  <si>
    <t>משרה 2017</t>
  </si>
  <si>
    <t>משרה 2018</t>
  </si>
  <si>
    <t>כיוף</t>
  </si>
  <si>
    <t>וגיה</t>
  </si>
  <si>
    <t>ראש המועצה</t>
  </si>
  <si>
    <t>ראש מועצה</t>
  </si>
  <si>
    <t>סה"כ שכר ראש המועצה</t>
  </si>
  <si>
    <t>רוחאנה</t>
  </si>
  <si>
    <t>רינה</t>
  </si>
  <si>
    <t>לשכת ראש מועצה</t>
  </si>
  <si>
    <t>מזכירה</t>
  </si>
  <si>
    <t>סה"כ לשכת ראש המועצה</t>
  </si>
  <si>
    <t xml:space="preserve">עלו </t>
  </si>
  <si>
    <t>מואנס</t>
  </si>
  <si>
    <t>ביקורת</t>
  </si>
  <si>
    <t>מבקר פנים</t>
  </si>
  <si>
    <t>סה"כ מבקר המועצה</t>
  </si>
  <si>
    <t xml:space="preserve">שרוף </t>
  </si>
  <si>
    <t>פרח</t>
  </si>
  <si>
    <t>מזכיר</t>
  </si>
  <si>
    <t>מזכיר- 75% בכירים</t>
  </si>
  <si>
    <t>עמאשה</t>
  </si>
  <si>
    <t>רימא</t>
  </si>
  <si>
    <t>מזכירת מזכיר</t>
  </si>
  <si>
    <t>סה"כ מזכיר המועצה</t>
  </si>
  <si>
    <t>זאהר</t>
  </si>
  <si>
    <t>אוסנת</t>
  </si>
  <si>
    <t>אגף מינהל</t>
  </si>
  <si>
    <t>מוקד</t>
  </si>
  <si>
    <t>אבו רוקן</t>
  </si>
  <si>
    <t>מזיד</t>
  </si>
  <si>
    <t>שעתי</t>
  </si>
  <si>
    <t>פולו</t>
  </si>
  <si>
    <t>אבטחה</t>
  </si>
  <si>
    <t>קב"ט</t>
  </si>
  <si>
    <t>מרכזיה</t>
  </si>
  <si>
    <t>סקר</t>
  </si>
  <si>
    <t>עבדאללה</t>
  </si>
  <si>
    <t>ממלא רכש</t>
  </si>
  <si>
    <t>מלאק</t>
  </si>
  <si>
    <t>סעיד</t>
  </si>
  <si>
    <t>ת.ז משרד פנים</t>
  </si>
  <si>
    <t>אבו פחר</t>
  </si>
  <si>
    <t>שפיקה</t>
  </si>
  <si>
    <t xml:space="preserve">ניקיון </t>
  </si>
  <si>
    <t>מוסטפא</t>
  </si>
  <si>
    <t>מחסנה</t>
  </si>
  <si>
    <t>ניקיון</t>
  </si>
  <si>
    <t>סה"כ שכר אגף מינהל</t>
  </si>
  <si>
    <t>אבופארס</t>
  </si>
  <si>
    <t>אנשראח</t>
  </si>
  <si>
    <t>עזמי</t>
  </si>
  <si>
    <t>פריזה</t>
  </si>
  <si>
    <t>סה"כ שכר ניקיון אגף מינהל</t>
  </si>
  <si>
    <t>אסדי</t>
  </si>
  <si>
    <t>רים</t>
  </si>
  <si>
    <t>גזברות</t>
  </si>
  <si>
    <t>גזברית- 75% בכירים</t>
  </si>
  <si>
    <t>סה"כ שכר גזברית</t>
  </si>
  <si>
    <t>מרון</t>
  </si>
  <si>
    <t>נעים</t>
  </si>
  <si>
    <t>חשב שכר</t>
  </si>
  <si>
    <t xml:space="preserve">סה"כ שכר חשב שכר </t>
  </si>
  <si>
    <t>מנהל</t>
  </si>
  <si>
    <t>גביה</t>
  </si>
  <si>
    <t>מנהל גביה</t>
  </si>
  <si>
    <t>הלון</t>
  </si>
  <si>
    <t>נגוה</t>
  </si>
  <si>
    <t>קופאית ראשית</t>
  </si>
  <si>
    <t>אבורוקן</t>
  </si>
  <si>
    <t>סמיר</t>
  </si>
  <si>
    <t>מחרז</t>
  </si>
  <si>
    <t>דיאנה</t>
  </si>
  <si>
    <t>סה"כ שכר גביה</t>
  </si>
  <si>
    <t>עלו</t>
  </si>
  <si>
    <t>פריד</t>
  </si>
  <si>
    <t>רישוי עסקים</t>
  </si>
  <si>
    <t>סה"כ שכר תברואה</t>
  </si>
  <si>
    <t>מראד</t>
  </si>
  <si>
    <t>טיאוט רחובות</t>
  </si>
  <si>
    <t>סה"כ שכר טיאוט רחובות</t>
  </si>
  <si>
    <t>איכות הסביבה</t>
  </si>
  <si>
    <t>פקח איכות  סביבה</t>
  </si>
  <si>
    <t>נזיה</t>
  </si>
  <si>
    <t>שומר תחנת מעבר</t>
  </si>
  <si>
    <t>סה"כ איכות הסביבה</t>
  </si>
  <si>
    <t xml:space="preserve">תקן </t>
  </si>
  <si>
    <t>חדש</t>
  </si>
  <si>
    <t>רישוי עסקים ותברואה</t>
  </si>
  <si>
    <t>סה"כ רישוי עסקים</t>
  </si>
  <si>
    <t>מלשי</t>
  </si>
  <si>
    <t>יוסף</t>
  </si>
  <si>
    <t>שירות ווטרינרי</t>
  </si>
  <si>
    <t>וטרינר</t>
  </si>
  <si>
    <t>*</t>
  </si>
  <si>
    <t>סה"כ שירות וטרינרי</t>
  </si>
  <si>
    <t xml:space="preserve">בשארה </t>
  </si>
  <si>
    <t>מארון</t>
  </si>
  <si>
    <t>הנדסה-תכנון</t>
  </si>
  <si>
    <t>מהנדס</t>
  </si>
  <si>
    <t>אבוזלף</t>
  </si>
  <si>
    <t>סופיה</t>
  </si>
  <si>
    <t>הנדסאית</t>
  </si>
  <si>
    <t>שעתית</t>
  </si>
  <si>
    <t>סה"כ מחלקת הנדסה</t>
  </si>
  <si>
    <t>האני</t>
  </si>
  <si>
    <t>אחזקת נכסים</t>
  </si>
  <si>
    <t>אחזקה</t>
  </si>
  <si>
    <t>נלסון</t>
  </si>
  <si>
    <t>רביע</t>
  </si>
  <si>
    <t>נאיף</t>
  </si>
  <si>
    <t>אחזקה וניקיון מתנ"ס</t>
  </si>
  <si>
    <t>מנסור</t>
  </si>
  <si>
    <t>מערוף</t>
  </si>
  <si>
    <t>חאלד</t>
  </si>
  <si>
    <t>מחסן</t>
  </si>
  <si>
    <t>עלא</t>
  </si>
  <si>
    <t>אחזקת מגרש כדורגל</t>
  </si>
  <si>
    <t>סה"כ אחזקת נכסים ציבוריים</t>
  </si>
  <si>
    <t>נורה</t>
  </si>
  <si>
    <t>ספריה ציבורית</t>
  </si>
  <si>
    <t>ספרנית</t>
  </si>
  <si>
    <t>סה"כ ספריה ציבורית</t>
  </si>
  <si>
    <t xml:space="preserve">עובד </t>
  </si>
  <si>
    <t>מנהל תרבות ומתנס</t>
  </si>
  <si>
    <t>נדא</t>
  </si>
  <si>
    <t>מתנס</t>
  </si>
  <si>
    <t>אשתיאק</t>
  </si>
  <si>
    <t>סה"כ מתנ"ס</t>
  </si>
  <si>
    <t>חלבי</t>
  </si>
  <si>
    <t>ויסאם</t>
  </si>
  <si>
    <t>גיל רך</t>
  </si>
  <si>
    <t>סה"כ גיל רך</t>
  </si>
  <si>
    <t>אמין</t>
  </si>
  <si>
    <t>עיר ללא אלימות</t>
  </si>
  <si>
    <t>וחיד</t>
  </si>
  <si>
    <t>נילי</t>
  </si>
  <si>
    <t>מנהלת עיר ללא אלימות</t>
  </si>
  <si>
    <t xml:space="preserve">הלון </t>
  </si>
  <si>
    <t>עמיד</t>
  </si>
  <si>
    <t>מדריך ספורט ופנאי</t>
  </si>
  <si>
    <t>סה"כ עיר ללא אלימות</t>
  </si>
  <si>
    <t>דבור</t>
  </si>
  <si>
    <t>חסן</t>
  </si>
  <si>
    <t>ספורט</t>
  </si>
  <si>
    <t>מנהל מחלקת ספורט</t>
  </si>
  <si>
    <t>אבוסעדה</t>
  </si>
  <si>
    <t>אניס</t>
  </si>
  <si>
    <t>אחזקת אולם ספורט</t>
  </si>
  <si>
    <t>סאבא</t>
  </si>
  <si>
    <t>חוסני</t>
  </si>
  <si>
    <t>פנסיה צוברת</t>
  </si>
  <si>
    <t>אבו סעדה</t>
  </si>
  <si>
    <t>אליזה</t>
  </si>
  <si>
    <t>נקיון אולם ספורט</t>
  </si>
  <si>
    <t>סה"כ מחלקת ספורט</t>
  </si>
  <si>
    <t>סועאד</t>
  </si>
  <si>
    <t>תחנת אם וילד</t>
  </si>
  <si>
    <t>עובדת ניקיון</t>
  </si>
  <si>
    <t>סה"כ תחנת אם וילד</t>
  </si>
  <si>
    <t>זיד</t>
  </si>
  <si>
    <t>משק מים</t>
  </si>
  <si>
    <t>אחזקה מים</t>
  </si>
  <si>
    <t>רכאב</t>
  </si>
  <si>
    <t>סיאח</t>
  </si>
  <si>
    <t>אלשייך</t>
  </si>
  <si>
    <t>סלימאן</t>
  </si>
  <si>
    <t>אחזקת מים</t>
  </si>
  <si>
    <t>סה"כ מחלקת מים</t>
  </si>
  <si>
    <t>נאהית</t>
  </si>
  <si>
    <t>וידאד</t>
  </si>
  <si>
    <t>ניהאד</t>
  </si>
  <si>
    <t>זקייה</t>
  </si>
  <si>
    <t>חמזה</t>
  </si>
  <si>
    <t>חסיב</t>
  </si>
  <si>
    <t>גבר</t>
  </si>
  <si>
    <t>אבותמימי</t>
  </si>
  <si>
    <t>נגיה</t>
  </si>
  <si>
    <t>סאלחה</t>
  </si>
  <si>
    <t>דהוד</t>
  </si>
  <si>
    <t>איוב</t>
  </si>
  <si>
    <t>פאיז</t>
  </si>
  <si>
    <t>עפיפה</t>
  </si>
  <si>
    <t>מרטה</t>
  </si>
  <si>
    <t>עסאם</t>
  </si>
  <si>
    <t>זהראלדין</t>
  </si>
  <si>
    <t>הדיה</t>
  </si>
  <si>
    <t>אינסאף</t>
  </si>
  <si>
    <t>חרמאן</t>
  </si>
  <si>
    <t>טויל</t>
  </si>
  <si>
    <t>עבדאלקרים</t>
  </si>
  <si>
    <t>אדיב</t>
  </si>
  <si>
    <t>ודיעה</t>
  </si>
  <si>
    <t>מועין</t>
  </si>
  <si>
    <t>לאלא</t>
  </si>
  <si>
    <t>אלהאם</t>
  </si>
  <si>
    <t>רשיד</t>
  </si>
  <si>
    <t>מונירה</t>
  </si>
  <si>
    <t>נאדיה</t>
  </si>
  <si>
    <t>קנג</t>
  </si>
  <si>
    <t>נדה</t>
  </si>
  <si>
    <t>זוהיר</t>
  </si>
  <si>
    <t>נגם</t>
  </si>
  <si>
    <t>זיידה</t>
  </si>
  <si>
    <t>מחמודה</t>
  </si>
  <si>
    <t>דוחי</t>
  </si>
  <si>
    <t>סראיאלדין</t>
  </si>
  <si>
    <t>תרייה</t>
  </si>
  <si>
    <t>עבוד</t>
  </si>
  <si>
    <t>דינה</t>
  </si>
  <si>
    <t>עזאם</t>
  </si>
  <si>
    <t>פואד</t>
  </si>
  <si>
    <t>דאהש</t>
  </si>
  <si>
    <t>חסין</t>
  </si>
  <si>
    <t>קנוע</t>
  </si>
  <si>
    <t>פוזיה</t>
  </si>
  <si>
    <t>פרו</t>
  </si>
  <si>
    <t>חליל</t>
  </si>
  <si>
    <t>קונטאר</t>
  </si>
  <si>
    <t>חמוד</t>
  </si>
  <si>
    <t>אליס</t>
  </si>
  <si>
    <t>מלכה</t>
  </si>
  <si>
    <t>סאמיה</t>
  </si>
  <si>
    <t>גקלין</t>
  </si>
  <si>
    <t>חלווה</t>
  </si>
  <si>
    <t>שרוף</t>
  </si>
  <si>
    <t>עפיף</t>
  </si>
  <si>
    <t>בהיה</t>
  </si>
  <si>
    <t>אחלאם</t>
  </si>
  <si>
    <t>הנא</t>
  </si>
  <si>
    <t>מונא</t>
  </si>
  <si>
    <t xml:space="preserve">מנסור </t>
  </si>
  <si>
    <t>נאהדה</t>
  </si>
  <si>
    <t>שפיקה (דאמן)</t>
  </si>
  <si>
    <t>שאמל</t>
  </si>
  <si>
    <t>מדינה</t>
  </si>
  <si>
    <t>נואל</t>
  </si>
  <si>
    <t>כרמלה</t>
  </si>
  <si>
    <t>אסד</t>
  </si>
  <si>
    <t>עובדים לפנסיה</t>
  </si>
  <si>
    <t>עובדת מע"ש</t>
  </si>
  <si>
    <t>עובדים</t>
  </si>
  <si>
    <t>סה"כ פנסיה</t>
  </si>
  <si>
    <t>לפיצויים</t>
  </si>
  <si>
    <t>פנסיה והפרשות</t>
  </si>
  <si>
    <t>סה"כ מוניציפלי</t>
  </si>
  <si>
    <t>תקציב שכר חינוך לשנת 2016</t>
  </si>
  <si>
    <t>שם משפחה</t>
  </si>
  <si>
    <t>סעיף</t>
  </si>
  <si>
    <t>מקום עבודה</t>
  </si>
  <si>
    <t>תפקיד</t>
  </si>
  <si>
    <t>תקן</t>
  </si>
  <si>
    <t>שנת 2016</t>
  </si>
  <si>
    <t>תקן 2017</t>
  </si>
  <si>
    <t>שנת 2017</t>
  </si>
  <si>
    <t>תקן 2018</t>
  </si>
  <si>
    <t>שנת 2018</t>
  </si>
  <si>
    <t>כמאל</t>
  </si>
  <si>
    <t>מינהל חינוך</t>
  </si>
  <si>
    <t>מ.מ מנהל מחלקת חינוך</t>
  </si>
  <si>
    <t>גאבר</t>
  </si>
  <si>
    <t>אקראם</t>
  </si>
  <si>
    <t>רכזת גנים</t>
  </si>
  <si>
    <t>רוז</t>
  </si>
  <si>
    <t>מזכירה ראשית</t>
  </si>
  <si>
    <t>מזכירה חינוך</t>
  </si>
  <si>
    <t xml:space="preserve">כיוף </t>
  </si>
  <si>
    <t>גוהינה</t>
  </si>
  <si>
    <t>גני ילדים</t>
  </si>
  <si>
    <t>סייעת</t>
  </si>
  <si>
    <t>מוראד</t>
  </si>
  <si>
    <t>כמיליא</t>
  </si>
  <si>
    <t>שומרי</t>
  </si>
  <si>
    <t>סוזן</t>
  </si>
  <si>
    <t>תגריד</t>
  </si>
  <si>
    <t>נסראלדין</t>
  </si>
  <si>
    <t>והיבה</t>
  </si>
  <si>
    <t>סולטאנה</t>
  </si>
  <si>
    <t>עטאף</t>
  </si>
  <si>
    <t>סעב</t>
  </si>
  <si>
    <t>חנאן</t>
  </si>
  <si>
    <t>סיף</t>
  </si>
  <si>
    <t>היא</t>
  </si>
  <si>
    <t>עטילה</t>
  </si>
  <si>
    <t>עביר</t>
  </si>
  <si>
    <t>קסראוי</t>
  </si>
  <si>
    <t>נוהא</t>
  </si>
  <si>
    <t>חמדאן</t>
  </si>
  <si>
    <t>עזה</t>
  </si>
  <si>
    <t>אחמדיה</t>
  </si>
  <si>
    <t>כעביה</t>
  </si>
  <si>
    <t>וופא</t>
  </si>
  <si>
    <t>רחאב</t>
  </si>
  <si>
    <t>מלוק</t>
  </si>
  <si>
    <t>רוחאנא</t>
  </si>
  <si>
    <t>שירין</t>
  </si>
  <si>
    <t>משלין</t>
  </si>
  <si>
    <t>סייעת שניה</t>
  </si>
  <si>
    <t>גוליה</t>
  </si>
  <si>
    <t>גוטאני</t>
  </si>
  <si>
    <t>נגאת</t>
  </si>
  <si>
    <t>קוזלי</t>
  </si>
  <si>
    <t>מונתהא</t>
  </si>
  <si>
    <t xml:space="preserve">אסעד </t>
  </si>
  <si>
    <t>רוידה</t>
  </si>
  <si>
    <t>הודא</t>
  </si>
  <si>
    <t>אבו שאהין</t>
  </si>
  <si>
    <t>סמיחה</t>
  </si>
  <si>
    <t>אנעאם</t>
  </si>
  <si>
    <t>רובה</t>
  </si>
  <si>
    <t>גני ילדים-יוח"א</t>
  </si>
  <si>
    <t>אמירה</t>
  </si>
  <si>
    <t xml:space="preserve">אסד </t>
  </si>
  <si>
    <t>חיכאם</t>
  </si>
  <si>
    <t>האלה</t>
  </si>
  <si>
    <t>גני ילדים-מיל"ת</t>
  </si>
  <si>
    <t>גאדה</t>
  </si>
  <si>
    <t>גני ילדים-צמודה</t>
  </si>
  <si>
    <t>אבורוכן</t>
  </si>
  <si>
    <t>שרה</t>
  </si>
  <si>
    <t>גני ילדים - מיל"ת</t>
  </si>
  <si>
    <t>ענאיה</t>
  </si>
  <si>
    <t xml:space="preserve">סייעת </t>
  </si>
  <si>
    <t>אבו ראיד</t>
  </si>
  <si>
    <t>ראיה</t>
  </si>
  <si>
    <t>גני ילדים יוח"א</t>
  </si>
  <si>
    <t>סחר</t>
  </si>
  <si>
    <t>גני ילדים מיל"ת</t>
  </si>
  <si>
    <t>חיר</t>
  </si>
  <si>
    <t>עדבה</t>
  </si>
  <si>
    <t>אסעד חטום</t>
  </si>
  <si>
    <t>חתאם</t>
  </si>
  <si>
    <t>ממלאת מקום</t>
  </si>
  <si>
    <t>והב</t>
  </si>
  <si>
    <t>רחיל</t>
  </si>
  <si>
    <t>סייעת מיל"ת</t>
  </si>
  <si>
    <t>סה"כ סייעות יוח"א ומיל"ת</t>
  </si>
  <si>
    <t>עובד</t>
  </si>
  <si>
    <t>הטף והאתג"ר</t>
  </si>
  <si>
    <t xml:space="preserve">מדריכה </t>
  </si>
  <si>
    <t>מרח</t>
  </si>
  <si>
    <t xml:space="preserve">סה"כ הטף ואתגר </t>
  </si>
  <si>
    <t>פדול</t>
  </si>
  <si>
    <t>חינוך מיוחד-גן טיפולי</t>
  </si>
  <si>
    <t>סייעת אם</t>
  </si>
  <si>
    <t>ענת</t>
  </si>
  <si>
    <t>סמאח</t>
  </si>
  <si>
    <t>סייעת כיתתית</t>
  </si>
  <si>
    <t>סאריה</t>
  </si>
  <si>
    <t>חוגיראת</t>
  </si>
  <si>
    <t>סוניה</t>
  </si>
  <si>
    <t>סייעת צמודה</t>
  </si>
  <si>
    <t>סה"כ חינוך מיוחד גן טיפולי</t>
  </si>
  <si>
    <t>מרכז יישובי</t>
  </si>
  <si>
    <t>תוכנית לאומית</t>
  </si>
  <si>
    <t>נבילה</t>
  </si>
  <si>
    <t>ואאם</t>
  </si>
  <si>
    <t>אבו פארס</t>
  </si>
  <si>
    <t>כאמלה</t>
  </si>
  <si>
    <t>סה"כ מרכזי נוער - תוכנית לאומית</t>
  </si>
  <si>
    <t>חדשים</t>
  </si>
  <si>
    <t>תוכנית אור</t>
  </si>
  <si>
    <t>אומניה</t>
  </si>
  <si>
    <t>סה"כ תוכנית אור - תוכנית לאומית</t>
  </si>
  <si>
    <t>אסף</t>
  </si>
  <si>
    <t>דיין</t>
  </si>
  <si>
    <t>יחידת נוער</t>
  </si>
  <si>
    <t>חוק נוער</t>
  </si>
  <si>
    <t>סה"כ יחדת נוער</t>
  </si>
  <si>
    <t>ויאם</t>
  </si>
  <si>
    <t>משאבי התמודדות</t>
  </si>
  <si>
    <t>שונים</t>
  </si>
  <si>
    <t>תכנית ראשית - תוכנית לאומית</t>
  </si>
  <si>
    <t>ש"ש</t>
  </si>
  <si>
    <t>סה"כ טיפול בהורים</t>
  </si>
  <si>
    <t>לביב</t>
  </si>
  <si>
    <t>יסודי א</t>
  </si>
  <si>
    <t>שרתים</t>
  </si>
  <si>
    <t xml:space="preserve">האני </t>
  </si>
  <si>
    <t>בית ספר ב</t>
  </si>
  <si>
    <t>נסראת</t>
  </si>
  <si>
    <t>יסודי ג</t>
  </si>
  <si>
    <t>סה"כ שרתים בתי ספר יסודי</t>
  </si>
  <si>
    <t>סנא</t>
  </si>
  <si>
    <t>נעמת</t>
  </si>
  <si>
    <t>סברין</t>
  </si>
  <si>
    <t>יסודי ב</t>
  </si>
  <si>
    <t>עתאב</t>
  </si>
  <si>
    <t>אכאבר</t>
  </si>
  <si>
    <t>אלאשראק</t>
  </si>
  <si>
    <t xml:space="preserve">מזכירה </t>
  </si>
  <si>
    <t>עפאף</t>
  </si>
  <si>
    <t>סה"כ מזכירות יסודי</t>
  </si>
  <si>
    <t>אבועאסי</t>
  </si>
  <si>
    <t>בית ספר א</t>
  </si>
  <si>
    <t>דאליה</t>
  </si>
  <si>
    <t xml:space="preserve">פרו </t>
  </si>
  <si>
    <t>סעדה</t>
  </si>
  <si>
    <t>אמאל</t>
  </si>
  <si>
    <t xml:space="preserve">מילוי </t>
  </si>
  <si>
    <t>מקום</t>
  </si>
  <si>
    <t>אסתר</t>
  </si>
  <si>
    <t>רודיינה</t>
  </si>
  <si>
    <t>נינה</t>
  </si>
  <si>
    <t>סמירה</t>
  </si>
  <si>
    <t>הנייה</t>
  </si>
  <si>
    <t>חלאוה</t>
  </si>
  <si>
    <t>בית ספר ג</t>
  </si>
  <si>
    <t>ופיקה</t>
  </si>
  <si>
    <t>עאידה</t>
  </si>
  <si>
    <t>אילנה</t>
  </si>
  <si>
    <t>נזירה</t>
  </si>
  <si>
    <t>מייסון</t>
  </si>
  <si>
    <t>שכידם</t>
  </si>
  <si>
    <t>נסרין</t>
  </si>
  <si>
    <t>אסמה</t>
  </si>
  <si>
    <t>סה"כ עובדות ניקיון בתי ספר יסודי</t>
  </si>
  <si>
    <t>פרידה</t>
  </si>
  <si>
    <t>אחות בתי ספר</t>
  </si>
  <si>
    <t>אחות</t>
  </si>
  <si>
    <t>סה"כ אחות בתי ספר</t>
  </si>
  <si>
    <t>חינוך מיוחד</t>
  </si>
  <si>
    <t>ממלא מקום</t>
  </si>
  <si>
    <t>חנין</t>
  </si>
  <si>
    <t>סייעת צמודה בית ספר א</t>
  </si>
  <si>
    <t>נסאר</t>
  </si>
  <si>
    <t>סייעת כיתתית בית ספר ב</t>
  </si>
  <si>
    <t>חסון</t>
  </si>
  <si>
    <t>אליסאר</t>
  </si>
  <si>
    <t>ניבאל</t>
  </si>
  <si>
    <t>סייעת כיתתית ותגבור א</t>
  </si>
  <si>
    <t>סייעת כיתתית חט"ב</t>
  </si>
  <si>
    <t>סוהילה</t>
  </si>
  <si>
    <t>אולפת</t>
  </si>
  <si>
    <t>סייעת תגבור בית ספר א</t>
  </si>
  <si>
    <t>סייעת כיתתית א</t>
  </si>
  <si>
    <t xml:space="preserve">סויטאת </t>
  </si>
  <si>
    <t>בסמה</t>
  </si>
  <si>
    <t>אבו סעד</t>
  </si>
  <si>
    <t>רביעה</t>
  </si>
  <si>
    <t>סה"כ סייעות כיתתיות ותגבור חינוך מיוחד</t>
  </si>
  <si>
    <t>רודינה</t>
  </si>
  <si>
    <t>ממלא</t>
  </si>
  <si>
    <t>סהאם</t>
  </si>
  <si>
    <t>קיואן</t>
  </si>
  <si>
    <t>מייסר</t>
  </si>
  <si>
    <t>היפא</t>
  </si>
  <si>
    <t>סייעת צמודה +ליווי הסעה</t>
  </si>
  <si>
    <t>ראוי</t>
  </si>
  <si>
    <t>לואי</t>
  </si>
  <si>
    <t>אסאלה</t>
  </si>
  <si>
    <t>מייסם</t>
  </si>
  <si>
    <t>פדאא</t>
  </si>
  <si>
    <t>סוהיר</t>
  </si>
  <si>
    <t>מנסור בדוי</t>
  </si>
  <si>
    <t>ליאל</t>
  </si>
  <si>
    <t xml:space="preserve">מלאק </t>
  </si>
  <si>
    <t>רשא</t>
  </si>
  <si>
    <t>סרינה</t>
  </si>
  <si>
    <t>סה"כ ליווי הסעות</t>
  </si>
  <si>
    <t>אימאן</t>
  </si>
  <si>
    <t>חט"ב</t>
  </si>
  <si>
    <t>מזכירה משנית</t>
  </si>
  <si>
    <t>שלח</t>
  </si>
  <si>
    <t>רכאד</t>
  </si>
  <si>
    <t>סיואר</t>
  </si>
  <si>
    <t>אחסאן</t>
  </si>
  <si>
    <t>מחשוב</t>
  </si>
  <si>
    <t>פלאח</t>
  </si>
  <si>
    <t>אב בית</t>
  </si>
  <si>
    <t>ראיק</t>
  </si>
  <si>
    <t>יולנד</t>
  </si>
  <si>
    <t>לבורנטית</t>
  </si>
  <si>
    <t xml:space="preserve">חט"ב </t>
  </si>
  <si>
    <t>דאניה</t>
  </si>
  <si>
    <t>חט"ב אלאשראק</t>
  </si>
  <si>
    <t>בדריה</t>
  </si>
  <si>
    <t>היאם</t>
  </si>
  <si>
    <t xml:space="preserve">שומרי </t>
  </si>
  <si>
    <t>פאדי</t>
  </si>
  <si>
    <t>שרת</t>
  </si>
  <si>
    <t>סה"כ עובדי חטיבת ביניים</t>
  </si>
  <si>
    <t xml:space="preserve">מורים </t>
  </si>
  <si>
    <t>תיכון אלאשראק</t>
  </si>
  <si>
    <t>תיכון</t>
  </si>
  <si>
    <t>סה"כ מורים תיכון אלאשראק</t>
  </si>
  <si>
    <t>מוסדות חינוך</t>
  </si>
  <si>
    <t>סה"כ קב"ט</t>
  </si>
  <si>
    <t>פרויקט מניעת נשירה</t>
  </si>
  <si>
    <t>מניעת נשירה</t>
  </si>
  <si>
    <t>אמאליה</t>
  </si>
  <si>
    <t>פסג"ה</t>
  </si>
  <si>
    <t>סה"כ שכר פסגה</t>
  </si>
  <si>
    <t>אלטורי</t>
  </si>
  <si>
    <t>נלי</t>
  </si>
  <si>
    <t>שירות פסיכולוגי</t>
  </si>
  <si>
    <t>פסיכולוג</t>
  </si>
  <si>
    <t>סופי</t>
  </si>
  <si>
    <t>ערטול</t>
  </si>
  <si>
    <t>איימן</t>
  </si>
  <si>
    <t>מוחסן</t>
  </si>
  <si>
    <t>ראסם</t>
  </si>
  <si>
    <t>נגאר</t>
  </si>
  <si>
    <t>כמיל</t>
  </si>
  <si>
    <t>סלמה</t>
  </si>
  <si>
    <t>שיבאן</t>
  </si>
  <si>
    <t>פירוז</t>
  </si>
  <si>
    <t xml:space="preserve">מרעי </t>
  </si>
  <si>
    <t>סה"כ שירות פסיכולוגי</t>
  </si>
  <si>
    <t>דאמן</t>
  </si>
  <si>
    <t>שריפה</t>
  </si>
  <si>
    <t>מעדונית ח. משותפת</t>
  </si>
  <si>
    <t>אם בית</t>
  </si>
  <si>
    <t>סה"כ מעדונית חינוכית</t>
  </si>
  <si>
    <t>ראניה</t>
  </si>
  <si>
    <t>קב"ס</t>
  </si>
  <si>
    <t>פלוני</t>
  </si>
  <si>
    <t>קב"ס משני</t>
  </si>
  <si>
    <t>סה"כ קב"ס</t>
  </si>
  <si>
    <t>רווחה חינוכית</t>
  </si>
  <si>
    <t>מדריכים</t>
  </si>
  <si>
    <t>רווחה חינוכית אגף שחר</t>
  </si>
  <si>
    <t xml:space="preserve">מתי"א </t>
  </si>
  <si>
    <t>מהא</t>
  </si>
  <si>
    <t>סה"כ  מתי"א</t>
  </si>
  <si>
    <t>קידום נוער</t>
  </si>
  <si>
    <t>מנהל קידום נוער</t>
  </si>
  <si>
    <t>ספאא</t>
  </si>
  <si>
    <t>רכזת הילה</t>
  </si>
  <si>
    <t>מדריכה</t>
  </si>
  <si>
    <t>סה"כ קידום נוער</t>
  </si>
  <si>
    <t>תקציב שכר רווחה לשנת 2016</t>
  </si>
  <si>
    <t>אבוגאזי</t>
  </si>
  <si>
    <t>נגלא</t>
  </si>
  <si>
    <t>מנהלת לשכת רווחה</t>
  </si>
  <si>
    <t xml:space="preserve">עו"ס מנהלת לשכת רווחה </t>
  </si>
  <si>
    <t>שאדיה</t>
  </si>
  <si>
    <t xml:space="preserve">עו"ס נוער וצעירים </t>
  </si>
  <si>
    <t>עו"ס נוער וצעירים</t>
  </si>
  <si>
    <t>מעדוניות פעולות משותפות</t>
  </si>
  <si>
    <t>עו"ס מעדוניות פעולות משותפות</t>
  </si>
  <si>
    <t xml:space="preserve">מעדונית משותפת </t>
  </si>
  <si>
    <t>עו"ס שיקום ונכים</t>
  </si>
  <si>
    <t>תקן רגיל</t>
  </si>
  <si>
    <t>עו"ס משפחה ופיגור</t>
  </si>
  <si>
    <t>חג מנדיה</t>
  </si>
  <si>
    <t>רנא</t>
  </si>
  <si>
    <t>אלימות במשפחה-תקציב דרוזים</t>
  </si>
  <si>
    <t xml:space="preserve">עו"ס אלימות במשפחה </t>
  </si>
  <si>
    <t>תקן דרוזים</t>
  </si>
  <si>
    <t>עלות תקציב דרוזים</t>
  </si>
  <si>
    <t>סייד_אחמד</t>
  </si>
  <si>
    <t>עו"ס אנטיק</t>
  </si>
  <si>
    <t>עו"ס חד הוריות</t>
  </si>
  <si>
    <t>פארס</t>
  </si>
  <si>
    <t>ח'תאם</t>
  </si>
  <si>
    <t>עו"ס נערות במצצוקה</t>
  </si>
  <si>
    <t>עו"ס נערות במצוקה</t>
  </si>
  <si>
    <t>חאטום</t>
  </si>
  <si>
    <t>עו"ס משפחה -דורזים</t>
  </si>
  <si>
    <t>דרוזים</t>
  </si>
  <si>
    <t>עו"ס אלימות נגד קשישים דרוזים</t>
  </si>
  <si>
    <t xml:space="preserve">עו"ס אלימות נגד קשישים </t>
  </si>
  <si>
    <t>דרוזים 0.25 וזקן 0.25</t>
  </si>
  <si>
    <t>זידאן</t>
  </si>
  <si>
    <t>נדאא</t>
  </si>
  <si>
    <t>עו"ס התנדבות וחירום</t>
  </si>
  <si>
    <t xml:space="preserve">משפחה </t>
  </si>
  <si>
    <t>זאידה</t>
  </si>
  <si>
    <t>עו"ס קשישים</t>
  </si>
  <si>
    <t>עו"ס</t>
  </si>
  <si>
    <t>צריכה להיות 0.5 תקן רגיל 0.25 פעולה סיעוד</t>
  </si>
  <si>
    <t>עו"ס דרוזים</t>
  </si>
  <si>
    <t>עו"ס תקציב דרוזים</t>
  </si>
  <si>
    <t>תקן חדש</t>
  </si>
  <si>
    <t xml:space="preserve">תקן חדש </t>
  </si>
  <si>
    <t>תקן חדש רגיל</t>
  </si>
  <si>
    <t>תקן דרוזים- תכנית עוצמה</t>
  </si>
  <si>
    <t>פרחאת-אבופארס</t>
  </si>
  <si>
    <t>סמר</t>
  </si>
  <si>
    <t>לשכת רווחה מנהלי מזכירה</t>
  </si>
  <si>
    <t>מזכירה לשכת רווחה</t>
  </si>
  <si>
    <t>לשכת רווחה מנהלי-שומר</t>
  </si>
  <si>
    <t>עובר לפנסיה</t>
  </si>
  <si>
    <t>לנא</t>
  </si>
  <si>
    <t>לשכת רווחה מנהלי-פקידת זכאות</t>
  </si>
  <si>
    <t>עובדת זכאות</t>
  </si>
  <si>
    <t>זהרה</t>
  </si>
  <si>
    <t>לשכת רווחה מנהלי-נקיון</t>
  </si>
  <si>
    <t>סוהא</t>
  </si>
  <si>
    <t>מעדונית אינטנסיבית</t>
  </si>
  <si>
    <t>אם בית מעדונית</t>
  </si>
  <si>
    <t>נסים</t>
  </si>
  <si>
    <t>מדריכה  מעדונית</t>
  </si>
  <si>
    <t>נתיבים להורות-אם בית</t>
  </si>
  <si>
    <t>מע"ש</t>
  </si>
  <si>
    <t>מדריכה מע"ש</t>
  </si>
  <si>
    <t>אלעלי</t>
  </si>
  <si>
    <t>אם בית מע"ש</t>
  </si>
  <si>
    <t>לילאוי</t>
  </si>
  <si>
    <t>כרמילה</t>
  </si>
  <si>
    <t>מנהלת מע"ש</t>
  </si>
  <si>
    <t>ליא</t>
  </si>
  <si>
    <t>מסגרת התקציב לשנת 2016 (לפי רבעון0216)</t>
  </si>
  <si>
    <t>פרק</t>
  </si>
  <si>
    <t>גבייה - תפעול מערכות ועבודת קבלניות</t>
  </si>
  <si>
    <t>הוצאות מימון וריבית</t>
  </si>
  <si>
    <t>ביוב</t>
  </si>
  <si>
    <t xml:space="preserve">סה"כ </t>
  </si>
  <si>
    <t>שכ"ד (גני ילדים ומועדניות חינוך)</t>
  </si>
  <si>
    <t>מועדניות אינטנסיביות - שכ"ד</t>
  </si>
  <si>
    <t>טיפול באזרח ותיק</t>
  </si>
  <si>
    <t>מים, חשמל ותקשורת מע"שים</t>
  </si>
  <si>
    <t>מזייד אבורוכן</t>
  </si>
  <si>
    <t>מוקדן</t>
  </si>
  <si>
    <t>פנסיה צוברת ההשלמה של הפיצויים מקופת הפנסיה</t>
  </si>
  <si>
    <t>עובד תחזוקה</t>
  </si>
  <si>
    <t>5-7</t>
  </si>
  <si>
    <t>לא</t>
  </si>
  <si>
    <t>נאיף אבורוכן</t>
  </si>
  <si>
    <t>סלימאן אלשיך</t>
  </si>
  <si>
    <t>עובד מים</t>
  </si>
  <si>
    <t>חסן אסד</t>
  </si>
  <si>
    <t>שומר רווחה</t>
  </si>
  <si>
    <t>7+</t>
  </si>
  <si>
    <t>כן</t>
  </si>
  <si>
    <t>פרו סמר</t>
  </si>
  <si>
    <t>מדריכ מע"ש</t>
  </si>
  <si>
    <t>כו</t>
  </si>
  <si>
    <t>אלעלי סמירה</t>
  </si>
  <si>
    <t>צוברת</t>
  </si>
  <si>
    <t>עזמי ליא</t>
  </si>
  <si>
    <t>אחיות</t>
  </si>
  <si>
    <t>להציג תלוש</t>
  </si>
  <si>
    <t>כרמלה לילאוי</t>
  </si>
  <si>
    <t>ב.א</t>
  </si>
  <si>
    <t>נעים מארון</t>
  </si>
  <si>
    <t>11+</t>
  </si>
  <si>
    <t>13+</t>
  </si>
  <si>
    <t xml:space="preserve"> יש 3.3 ותק לפנסיה שצריך לחשב82016</t>
  </si>
  <si>
    <t>מלאק נזיה</t>
  </si>
  <si>
    <t>סיאח רכאב</t>
  </si>
  <si>
    <t>מנהל מח' מים</t>
  </si>
  <si>
    <t>זיד אבורוכן</t>
  </si>
  <si>
    <t>עובד מח' ביוב</t>
  </si>
  <si>
    <t>כמאל כיוף</t>
  </si>
  <si>
    <t>מנהל חינוך</t>
  </si>
  <si>
    <t>בא</t>
  </si>
  <si>
    <t>מא</t>
  </si>
  <si>
    <t>מדריכת מועדונית חינוך</t>
  </si>
  <si>
    <t xml:space="preserve"> צוברת82016</t>
  </si>
  <si>
    <t>שריפה דאמן</t>
  </si>
  <si>
    <t>אם בית מועדונית</t>
  </si>
  <si>
    <t>סועאד מחרז</t>
  </si>
  <si>
    <t>ניקיון חט"ב</t>
  </si>
  <si>
    <t>גוליה סיד אחמד</t>
  </si>
  <si>
    <t>עו"סית</t>
  </si>
  <si>
    <t xml:space="preserve"> צוברת 82016</t>
  </si>
  <si>
    <t>אנשראח אבופארס</t>
  </si>
  <si>
    <t>ניקיון מוסדות</t>
  </si>
  <si>
    <t>סמיר אבופארס</t>
  </si>
  <si>
    <t>רכז יחידה סביבתית</t>
  </si>
  <si>
    <t>כולל רכישת מים</t>
  </si>
  <si>
    <t>השתתפות באבטחת יו"ר ועדת רכס הכרמל</t>
  </si>
  <si>
    <t>תוכנית יובלים</t>
  </si>
  <si>
    <t>שכ"ד (חטיבת אלאשראק)</t>
  </si>
  <si>
    <t>רוחאנא שירין</t>
  </si>
  <si>
    <t>רוחאנא משלין</t>
  </si>
  <si>
    <t>אבו רוכן שרה</t>
  </si>
  <si>
    <t>סה"כ שכר רווחה</t>
  </si>
  <si>
    <t>סה"כ שכר כללי</t>
  </si>
  <si>
    <t>סה"כ שכר חינוך</t>
  </si>
  <si>
    <t>נסים מנסור</t>
  </si>
  <si>
    <t>פינוי פסולת גושית</t>
  </si>
  <si>
    <t>חשמל - תאורת רחובות</t>
  </si>
  <si>
    <t>סה"כ ארנונות</t>
  </si>
  <si>
    <t>2018-2019</t>
  </si>
  <si>
    <t>ביצוע שנת 2016 (מחירים שוטפים)</t>
  </si>
  <si>
    <t xml:space="preserve"> ביצוע לשנת 2017 (מחירים שוטפים)</t>
  </si>
  <si>
    <t>מסגרת תקציב לשנת 2019</t>
  </si>
  <si>
    <t>דוח מבוקר 2016</t>
  </si>
  <si>
    <t>דו"ח סקור 06/2017</t>
  </si>
  <si>
    <t>דוח סקור 06/2017</t>
  </si>
  <si>
    <t xml:space="preserve">מסגרת התקציב לשנת 2016 </t>
  </si>
  <si>
    <t>ביצוע שנת 2016</t>
  </si>
  <si>
    <t xml:space="preserve"> ביצוע שנת 2017</t>
  </si>
  <si>
    <t>תקציב שנת 2019</t>
  </si>
  <si>
    <t>ביצוע 2016</t>
  </si>
  <si>
    <t>ביצוע 2017</t>
  </si>
  <si>
    <t>תקציב 2019</t>
  </si>
  <si>
    <t xml:space="preserve">תקציב 2018 </t>
  </si>
  <si>
    <t>חסכון 2018 (לעומת ביצוע 2017)</t>
  </si>
  <si>
    <t>חסכון 2019 (לעומת ביצוע 2017)</t>
  </si>
  <si>
    <t>חסכון 2019 (לעומת 2018)</t>
  </si>
  <si>
    <t xml:space="preserve">ביצוע 2016 </t>
  </si>
  <si>
    <t>2019 ע"פ עומס מלוות קיים</t>
  </si>
  <si>
    <t>2019 בתוספת אשראי חדש *</t>
  </si>
  <si>
    <t>הוצאה חזויה ב- 2019</t>
  </si>
  <si>
    <t>חסכון ב-  2019</t>
  </si>
  <si>
    <t>הלוואות חדשות 2019- 25,000 אלפי ₪</t>
  </si>
  <si>
    <t>ביצוע  2016</t>
  </si>
  <si>
    <t>תקציב מקורי 2017 ע"פ תכנית הבראה</t>
  </si>
  <si>
    <t>תוספת ב-  2019</t>
  </si>
  <si>
    <t>אין</t>
  </si>
  <si>
    <t>נספח 1 -  אבני דרך בהסדר ההבראה - מו"מ עוספיא (באלש"ח)</t>
  </si>
  <si>
    <t>מס.</t>
  </si>
  <si>
    <t>יעד שנתי (באלש"ח)</t>
  </si>
  <si>
    <t>רבעון א'</t>
  </si>
  <si>
    <t>רבעון ב'</t>
  </si>
  <si>
    <t>רבעון ג'</t>
  </si>
  <si>
    <t>רבעון ד'</t>
  </si>
  <si>
    <t>מענק</t>
  </si>
  <si>
    <t>הלוואה</t>
  </si>
  <si>
    <t>משקולות (א',ג')</t>
  </si>
  <si>
    <t>משקולות (ב',ד')</t>
  </si>
  <si>
    <t>הגדלת הכנסות מארנונה - עמידה ביעד הגביה*</t>
  </si>
  <si>
    <t>צמצום הוצאות</t>
  </si>
  <si>
    <t>הוצאות שכר כללי *</t>
  </si>
  <si>
    <t>פעולות כלליות*</t>
  </si>
  <si>
    <t>סיבסוד חינוך **</t>
  </si>
  <si>
    <t>סיבסוד רווחה***</t>
  </si>
  <si>
    <t>עמידה ביעד הגרעון השוטף *- יעד סף</t>
  </si>
  <si>
    <t>באלש"ח</t>
  </si>
  <si>
    <t>מענקים</t>
  </si>
  <si>
    <t xml:space="preserve"> </t>
  </si>
  <si>
    <t>אחוזים</t>
  </si>
  <si>
    <t>עמידה ביעד הכנסות עצמיות אחר</t>
  </si>
  <si>
    <t>פירוט אבני דרך 2018</t>
  </si>
  <si>
    <t>יעדים נוספים</t>
  </si>
  <si>
    <t>יעד הפחתה/יעד השלמת אבן דרך</t>
  </si>
  <si>
    <t>גביית חובות עובדים ונבחרים בארנונה, מים, אגרות בניה והיטלים - יעד סף*. (שחרור יתבצע בהתאם ליעד גבייה אשר יובא בתכנית עבודה חתומה).</t>
  </si>
  <si>
    <t>הקצאת מקורות תוספתית להפחתת גרעון מצטבר ממקורות עצמיים: הפחתת הגרעון הנצבר בגין הסדר נושים ו/או גביית פיגורים ו/או עודף תקציבי (מינימום 30% הנחה בהסדרי הנושים).</t>
  </si>
  <si>
    <t>הסדרת חוזי ספקים ונותני שירותים
בהתאם לדו"ח ביקורת מחוזי וביאישור הממונה על המחוז</t>
  </si>
  <si>
    <t>18.1</t>
  </si>
  <si>
    <t>18.2</t>
  </si>
  <si>
    <t xml:space="preserve">הסדרת חוב לקרן השיקום בסך 8 מלש"ח או הקטנת עומס מלוות ביוב (כ- 18 מלש"ח) כנגד הלוואת בעלים 40% (11 מלש"ח). </t>
  </si>
  <si>
    <t>השלמת הטמעת סקר המדידות לכל הישוב (כולל שליחת חיובים סופיים).</t>
  </si>
  <si>
    <t>הכנת סקר נכסי הרשות והשלמת ספר נכסי הרשות.</t>
  </si>
  <si>
    <t>21.1</t>
  </si>
  <si>
    <t>גביית אגרות שילוט בהתאם לחוק העזר המאושר.</t>
  </si>
  <si>
    <t>סיום ביצוע סקר נכסים ושליחת חיובים 
סופיים (הטמעה)</t>
  </si>
  <si>
    <t>21.2</t>
  </si>
  <si>
    <t>יציאה למכרז שילוט עירוני (שלטי חוצות)</t>
  </si>
  <si>
    <t>22.1</t>
  </si>
  <si>
    <t>הגשת דו"ח מצבת כח אדם בהתאם להנחיות האגף לניהול ההון האנושי.</t>
  </si>
  <si>
    <t>22.2</t>
  </si>
  <si>
    <t>תיקון כלל הליקויים אשר עולים מדו"ח מצבת כוח האדם.</t>
  </si>
  <si>
    <t>22.3</t>
  </si>
  <si>
    <t>בדיקת חריגות השכר של העובדים (כולל גמלאים) והגשת דו"ח לידיעת מנהל האגף לניהול ההון האנושי ברשויות המקומיות.</t>
  </si>
  <si>
    <t>22.4</t>
  </si>
  <si>
    <t xml:space="preserve">טיפול בחריגות השכר אשר התגלו בהתאם לדו"ח בתיאום עם האגף לניהול ההון האנושי </t>
  </si>
  <si>
    <t>עדכון חוקי עזר - פרסום ברשומות</t>
  </si>
  <si>
    <t>צמצום 9 משרות כ"א. התכנסות לסה"כ 128 משרות בהתאם לנספח המצ"ב (מוניצפאלי, חנוך ורווחה,לא כולל פנסיונרים).</t>
  </si>
  <si>
    <t>הצטרפות לתאגיד מים - חתימה על הסכם הצטרפות</t>
  </si>
  <si>
    <t>חסכון בהוצאות מימון פירעון מלוות בפיגורים</t>
  </si>
  <si>
    <t>בדיקת מצב התיקים בהוצאה לפועל, בחינת נתונים, קבלת אומדן לגבייה מסמנכ"ל רשות האכיפה והגבייה והגשת דו"ח המשך טיפול למשרד הפנים.</t>
  </si>
  <si>
    <t>טיפול בתיקים בהתאם לדו"ח מסעיף 27 לרבות הפעלת תיקים לגבייה, העברת חובות למחיקה וביצוע הליכים בתוך התיקים. (שחרור יתבצע בהתאם לאומדנים בדו"ח).</t>
  </si>
  <si>
    <t>בהתאם לסיכום</t>
  </si>
  <si>
    <t>התייעלות אנרגטית</t>
  </si>
  <si>
    <t>קידום פרויקטים מניבים להגדלת מקורות ההכנסה של הרשות לרבות הגשת תכנית עבודה. (שחרור יתבצע על-פי אבני דרך אשר יסוכמו בתכנית עבודה חתומה בין משרד הפנים לרשות).</t>
  </si>
  <si>
    <t>בהתאם לסיכום. הגשת תכנית עבודה עד ה-31.12.17.</t>
  </si>
  <si>
    <t>אבני דרך</t>
  </si>
  <si>
    <t>נספח 2</t>
  </si>
  <si>
    <t>סה"כ מענקים</t>
  </si>
  <si>
    <t>סה"כ הלוואות</t>
  </si>
  <si>
    <t xml:space="preserve">*יעדים עיקריים של תוכנית ההבראה (ע"פ תקנות העיריות (כללים למינוי ועדה למילוי תפקיד ראש הרשות המקומית והמועצה, </t>
  </si>
  <si>
    <t>תשס"ד–2004).</t>
  </si>
  <si>
    <t>** סבסוד חינוך = סה"כ הוצאות חינוך (שכר+פעולות) בהפחתת הכנסות חינוך (עצמיות + תקבולים ממשרד החינוך)</t>
  </si>
  <si>
    <t>***  סבסוד רווחה = סה"כ הוצאות רווחה (שכר+פעולות) בהפחתת הכנסות רווחה (עצמיות + תקבולים ממשרד הרווחה)</t>
  </si>
  <si>
    <t xml:space="preserve">     ____________           _________________</t>
  </si>
  <si>
    <t>________________</t>
  </si>
  <si>
    <t xml:space="preserve">           ראש הרשות                          תאריך</t>
  </si>
  <si>
    <t xml:space="preserve"> חותמת הרשות</t>
  </si>
  <si>
    <t>פירוט אבני דרך 2017</t>
  </si>
  <si>
    <t>פירוט אבני דרך 2019</t>
  </si>
  <si>
    <t>העלאה חריגה בארנונה לשנת 2019 בשיעור 1.33% מעל שיעור העדכון למגורים ובשיעור 5% מעל שיעור העדכון ליתר סוגי הנכסים.</t>
  </si>
  <si>
    <t>30.6.2019</t>
  </si>
  <si>
    <t>30.3.2019</t>
  </si>
  <si>
    <t>31.3.2019</t>
  </si>
  <si>
    <t>31.03.2019</t>
  </si>
  <si>
    <t>30.06.2019</t>
  </si>
  <si>
    <t>30.9.2019</t>
  </si>
  <si>
    <t>01.01.2019</t>
  </si>
  <si>
    <t>31.5.2019</t>
  </si>
  <si>
    <t>30.4.19</t>
  </si>
  <si>
    <t>31.12.2018</t>
  </si>
  <si>
    <t>הסדרת חוב למקורות (כ- 13 מלש"ח).</t>
  </si>
  <si>
    <t>בהתאם לסיכום אשר יוגש עד ה-30.7.2019.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</si>
</sst>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#,##0;\(#,##0\)"/>
    <numFmt numFmtId="165" formatCode="_ * #,##0_ ;_ * \-#,##0_ ;_ * &quot;-&quot;??_ ;_ @_ "/>
    <numFmt numFmtId="166" formatCode="#0"/>
    <numFmt numFmtId="167" formatCode="0.0%"/>
    <numFmt numFmtId="168" formatCode="_(* #,##0.00_);_(* \(#,##0.00\);_(* &quot;-&quot;??_);_(@_)"/>
  </numFmts>
  <fonts count="32" x14ac:knownFonts="1">
    <font>
      <sz val="10"/>
      <name val="Arial"/>
      <charset val="177"/>
    </font>
    <font>
      <b/>
      <u/>
      <sz val="12"/>
      <name val="David"/>
      <family val="2"/>
      <charset val="177"/>
    </font>
    <font>
      <sz val="10"/>
      <name val="David"/>
      <family val="2"/>
      <charset val="177"/>
    </font>
    <font>
      <b/>
      <sz val="12"/>
      <name val="David"/>
      <family val="2"/>
      <charset val="177"/>
    </font>
    <font>
      <sz val="12"/>
      <name val="David"/>
      <family val="2"/>
      <charset val="177"/>
    </font>
    <font>
      <sz val="8"/>
      <name val="Arial"/>
      <family val="2"/>
    </font>
    <font>
      <b/>
      <sz val="11"/>
      <name val="David"/>
      <family val="2"/>
      <charset val="177"/>
    </font>
    <font>
      <sz val="11"/>
      <name val="David"/>
      <family val="2"/>
      <charset val="177"/>
    </font>
    <font>
      <u/>
      <sz val="12"/>
      <name val="David"/>
      <family val="2"/>
      <charset val="177"/>
    </font>
    <font>
      <b/>
      <sz val="72"/>
      <name val="David"/>
      <family val="2"/>
      <charset val="177"/>
    </font>
    <font>
      <b/>
      <sz val="70"/>
      <name val="David"/>
      <family val="2"/>
      <charset val="177"/>
    </font>
    <font>
      <b/>
      <sz val="60"/>
      <name val="David"/>
      <family val="2"/>
      <charset val="177"/>
    </font>
    <font>
      <sz val="10"/>
      <name val="Arial"/>
      <family val="2"/>
    </font>
    <font>
      <b/>
      <u/>
      <sz val="11"/>
      <name val="David"/>
      <family val="2"/>
      <charset val="177"/>
    </font>
    <font>
      <sz val="11"/>
      <color rgb="FFFF0000"/>
      <name val="David"/>
      <family val="2"/>
      <charset val="177"/>
    </font>
    <font>
      <b/>
      <sz val="11"/>
      <color rgb="FFFF0000"/>
      <name val="David"/>
      <family val="2"/>
      <charset val="177"/>
    </font>
    <font>
      <b/>
      <sz val="14"/>
      <name val="David"/>
      <family val="2"/>
      <charset val="177"/>
    </font>
    <font>
      <b/>
      <u/>
      <sz val="14"/>
      <name val="David"/>
      <family val="2"/>
      <charset val="177"/>
    </font>
    <font>
      <b/>
      <sz val="10"/>
      <name val="David"/>
      <family val="2"/>
      <charset val="177"/>
    </font>
    <font>
      <sz val="10"/>
      <color indexed="8"/>
      <name val="David"/>
      <family val="2"/>
      <charset val="177"/>
    </font>
    <font>
      <b/>
      <sz val="10"/>
      <color indexed="8"/>
      <name val="David"/>
      <family val="2"/>
      <charset val="177"/>
    </font>
    <font>
      <sz val="16"/>
      <name val="David"/>
      <family val="2"/>
      <charset val="177"/>
    </font>
    <font>
      <sz val="10"/>
      <color rgb="FFFF0000"/>
      <name val="David"/>
      <family val="2"/>
      <charset val="177"/>
    </font>
    <font>
      <b/>
      <sz val="10"/>
      <name val="Arial"/>
      <family val="2"/>
    </font>
    <font>
      <b/>
      <sz val="12"/>
      <color indexed="8"/>
      <name val="David"/>
      <family val="2"/>
      <charset val="177"/>
    </font>
    <font>
      <sz val="11"/>
      <color theme="0"/>
      <name val="David"/>
      <family val="2"/>
      <charset val="177"/>
    </font>
    <font>
      <sz val="12"/>
      <color theme="0"/>
      <name val="David"/>
      <family val="2"/>
      <charset val="177"/>
    </font>
    <font>
      <sz val="10"/>
      <name val="Arial"/>
      <family val="2"/>
    </font>
    <font>
      <sz val="12"/>
      <color indexed="8"/>
      <name val="David"/>
      <family val="2"/>
      <charset val="177"/>
    </font>
    <font>
      <sz val="10"/>
      <name val="Arial"/>
      <charset val="177"/>
    </font>
    <font>
      <b/>
      <u/>
      <sz val="18"/>
      <name val="David"/>
      <family val="2"/>
      <charset val="177"/>
    </font>
    <font>
      <sz val="14"/>
      <name val="David"/>
      <family val="2"/>
      <charset val="177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8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10">
    <xf numFmtId="0" fontId="0" fillId="0" borderId="0"/>
    <xf numFmtId="0" fontId="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>
      <alignment vertical="top"/>
    </xf>
    <xf numFmtId="0" fontId="12" fillId="0" borderId="0"/>
    <xf numFmtId="43" fontId="27" fillId="0" borderId="0" applyFont="0" applyFill="0" applyBorder="0" applyAlignment="0" applyProtection="0"/>
    <xf numFmtId="9" fontId="29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634">
    <xf numFmtId="0" fontId="0" fillId="0" borderId="0" xfId="0"/>
    <xf numFmtId="0" fontId="6" fillId="0" borderId="1" xfId="1" applyFont="1" applyBorder="1" applyAlignment="1">
      <alignment horizontal="center" vertical="center" readingOrder="1"/>
    </xf>
    <xf numFmtId="0" fontId="6" fillId="0" borderId="1" xfId="1" applyFont="1" applyBorder="1" applyAlignment="1">
      <alignment horizontal="center" vertical="center" wrapText="1" readingOrder="2"/>
    </xf>
    <xf numFmtId="0" fontId="2" fillId="0" borderId="0" xfId="0" applyFont="1"/>
    <xf numFmtId="0" fontId="7" fillId="0" borderId="0" xfId="0" applyFont="1"/>
    <xf numFmtId="0" fontId="7" fillId="0" borderId="1" xfId="1" applyFont="1" applyBorder="1" applyAlignment="1">
      <alignment horizontal="left" readingOrder="1"/>
    </xf>
    <xf numFmtId="0" fontId="7" fillId="0" borderId="1" xfId="1" applyFont="1" applyBorder="1" applyAlignment="1">
      <alignment horizontal="right" readingOrder="2"/>
    </xf>
    <xf numFmtId="0" fontId="7" fillId="0" borderId="1" xfId="1" applyFont="1" applyBorder="1" applyAlignment="1">
      <alignment horizontal="center" readingOrder="1"/>
    </xf>
    <xf numFmtId="0" fontId="7" fillId="0" borderId="1" xfId="1" applyFont="1" applyBorder="1" applyAlignment="1">
      <alignment horizontal="right" wrapText="1" readingOrder="2"/>
    </xf>
    <xf numFmtId="0" fontId="7" fillId="2" borderId="0" xfId="1" applyFont="1" applyFill="1" applyBorder="1"/>
    <xf numFmtId="0" fontId="7" fillId="2" borderId="0" xfId="1" applyFont="1" applyFill="1" applyBorder="1" applyAlignment="1"/>
    <xf numFmtId="0" fontId="6" fillId="0" borderId="1" xfId="1" applyFont="1" applyBorder="1" applyAlignment="1">
      <alignment horizontal="right" readingOrder="2"/>
    </xf>
    <xf numFmtId="0" fontId="6" fillId="2" borderId="0" xfId="1" applyFont="1" applyFill="1" applyBorder="1" applyAlignment="1"/>
    <xf numFmtId="0" fontId="2" fillId="2" borderId="0" xfId="0" applyFont="1" applyFill="1"/>
    <xf numFmtId="0" fontId="4" fillId="0" borderId="0" xfId="0" applyFont="1"/>
    <xf numFmtId="0" fontId="4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right" readingOrder="2"/>
    </xf>
    <xf numFmtId="0" fontId="4" fillId="2" borderId="0" xfId="0" applyFont="1" applyFill="1" applyBorder="1" applyAlignment="1">
      <alignment horizontal="center"/>
    </xf>
    <xf numFmtId="0" fontId="4" fillId="0" borderId="0" xfId="0" applyFont="1" applyBorder="1"/>
    <xf numFmtId="0" fontId="4" fillId="2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3" fillId="0" borderId="0" xfId="0" applyFont="1"/>
    <xf numFmtId="0" fontId="3" fillId="2" borderId="0" xfId="0" applyFont="1" applyFill="1" applyAlignment="1">
      <alignment horizontal="center"/>
    </xf>
    <xf numFmtId="0" fontId="4" fillId="0" borderId="0" xfId="1" applyFont="1" applyFill="1" applyBorder="1"/>
    <xf numFmtId="0" fontId="3" fillId="0" borderId="13" xfId="1" applyFont="1" applyFill="1" applyBorder="1" applyAlignment="1">
      <alignment vertical="center" wrapText="1" readingOrder="2"/>
    </xf>
    <xf numFmtId="0" fontId="3" fillId="0" borderId="17" xfId="1" applyFont="1" applyFill="1" applyBorder="1" applyAlignment="1">
      <alignment vertical="center" wrapText="1" readingOrder="2"/>
    </xf>
    <xf numFmtId="0" fontId="3" fillId="0" borderId="1" xfId="1" applyFont="1" applyFill="1" applyBorder="1" applyAlignment="1">
      <alignment horizontal="center" vertical="center" wrapText="1" readingOrder="2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7" fillId="0" borderId="0" xfId="1" applyFont="1" applyFill="1" applyBorder="1"/>
    <xf numFmtId="0" fontId="7" fillId="0" borderId="0" xfId="0" applyFont="1" applyFill="1"/>
    <xf numFmtId="0" fontId="7" fillId="0" borderId="5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4" xfId="0" applyFont="1" applyFill="1" applyBorder="1"/>
    <xf numFmtId="0" fontId="7" fillId="0" borderId="1" xfId="0" applyFont="1" applyFill="1" applyBorder="1"/>
    <xf numFmtId="0" fontId="6" fillId="0" borderId="1" xfId="0" applyFont="1" applyFill="1" applyBorder="1"/>
    <xf numFmtId="0" fontId="6" fillId="0" borderId="4" xfId="0" applyFont="1" applyFill="1" applyBorder="1"/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6" fillId="0" borderId="9" xfId="0" applyFont="1" applyFill="1" applyBorder="1"/>
    <xf numFmtId="0" fontId="6" fillId="0" borderId="8" xfId="0" applyFont="1" applyFill="1" applyBorder="1"/>
    <xf numFmtId="0" fontId="6" fillId="0" borderId="4" xfId="0" applyFont="1" applyFill="1" applyBorder="1" applyAlignment="1">
      <alignment horizontal="right" readingOrder="2"/>
    </xf>
    <xf numFmtId="0" fontId="6" fillId="0" borderId="4" xfId="0" applyFont="1" applyFill="1" applyBorder="1" applyAlignment="1">
      <alignment readingOrder="2"/>
    </xf>
    <xf numFmtId="0" fontId="6" fillId="0" borderId="0" xfId="0" applyFont="1" applyFill="1"/>
    <xf numFmtId="0" fontId="4" fillId="0" borderId="0" xfId="0" applyFont="1" applyFill="1"/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4" fillId="0" borderId="13" xfId="0" applyFont="1" applyFill="1" applyBorder="1"/>
    <xf numFmtId="0" fontId="4" fillId="0" borderId="16" xfId="0" applyFont="1" applyFill="1" applyBorder="1" applyAlignment="1">
      <alignment wrapText="1"/>
    </xf>
    <xf numFmtId="0" fontId="4" fillId="0" borderId="16" xfId="0" applyFont="1" applyFill="1" applyBorder="1"/>
    <xf numFmtId="0" fontId="4" fillId="0" borderId="17" xfId="0" applyFont="1" applyFill="1" applyBorder="1"/>
    <xf numFmtId="0" fontId="4" fillId="0" borderId="0" xfId="0" applyFont="1" applyFill="1" applyAlignment="1">
      <alignment wrapText="1"/>
    </xf>
    <xf numFmtId="0" fontId="4" fillId="0" borderId="0" xfId="1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top" wrapText="1"/>
    </xf>
    <xf numFmtId="0" fontId="3" fillId="0" borderId="1" xfId="0" applyFont="1" applyFill="1" applyBorder="1" applyAlignment="1">
      <alignment horizontal="center" vertical="center" wrapText="1" readingOrder="2"/>
    </xf>
    <xf numFmtId="0" fontId="4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right" readingOrder="2"/>
    </xf>
    <xf numFmtId="0" fontId="8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4" fillId="0" borderId="0" xfId="0" applyFont="1" applyFill="1" applyAlignment="1">
      <alignment horizontal="right"/>
    </xf>
    <xf numFmtId="0" fontId="8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readingOrder="2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/>
    <xf numFmtId="0" fontId="3" fillId="0" borderId="0" xfId="1" applyFont="1" applyFill="1" applyBorder="1"/>
    <xf numFmtId="0" fontId="3" fillId="0" borderId="18" xfId="0" applyFont="1" applyFill="1" applyBorder="1" applyAlignment="1">
      <alignment horizontal="center"/>
    </xf>
    <xf numFmtId="0" fontId="4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 applyAlignment="1">
      <alignment wrapText="1"/>
    </xf>
    <xf numFmtId="0" fontId="4" fillId="0" borderId="13" xfId="0" applyFont="1" applyFill="1" applyBorder="1" applyAlignment="1">
      <alignment wrapText="1"/>
    </xf>
    <xf numFmtId="0" fontId="4" fillId="0" borderId="0" xfId="0" applyFont="1" applyFill="1" applyBorder="1" applyAlignment="1">
      <alignment horizontal="right" readingOrder="2"/>
    </xf>
    <xf numFmtId="0" fontId="1" fillId="0" borderId="0" xfId="0" applyFont="1" applyFill="1" applyAlignment="1"/>
    <xf numFmtId="0" fontId="4" fillId="0" borderId="0" xfId="0" applyFont="1" applyFill="1" applyAlignment="1">
      <alignment vertical="top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3" fontId="7" fillId="0" borderId="1" xfId="1" applyNumberFormat="1" applyFont="1" applyBorder="1" applyAlignment="1">
      <alignment horizontal="center" readingOrder="1"/>
    </xf>
    <xf numFmtId="3" fontId="6" fillId="0" borderId="1" xfId="1" applyNumberFormat="1" applyFont="1" applyBorder="1" applyAlignment="1">
      <alignment horizontal="center" readingOrder="1"/>
    </xf>
    <xf numFmtId="3" fontId="6" fillId="0" borderId="1" xfId="1" applyNumberFormat="1" applyFont="1" applyBorder="1" applyAlignment="1">
      <alignment horizontal="center" vertical="center" readingOrder="1"/>
    </xf>
    <xf numFmtId="0" fontId="6" fillId="0" borderId="1" xfId="1" applyFont="1" applyBorder="1" applyAlignment="1">
      <alignment horizontal="right" vertical="center" wrapText="1" readingOrder="2"/>
    </xf>
    <xf numFmtId="164" fontId="6" fillId="0" borderId="1" xfId="1" applyNumberFormat="1" applyFont="1" applyBorder="1" applyAlignment="1">
      <alignment horizontal="center" readingOrder="1"/>
    </xf>
    <xf numFmtId="164" fontId="4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3" fontId="7" fillId="0" borderId="1" xfId="0" applyNumberFormat="1" applyFont="1" applyFill="1" applyBorder="1" applyAlignment="1">
      <alignment horizontal="center"/>
    </xf>
    <xf numFmtId="3" fontId="7" fillId="0" borderId="5" xfId="0" applyNumberFormat="1" applyFont="1" applyFill="1" applyBorder="1" applyAlignment="1">
      <alignment horizontal="center"/>
    </xf>
    <xf numFmtId="3" fontId="6" fillId="0" borderId="1" xfId="0" applyNumberFormat="1" applyFont="1" applyFill="1" applyBorder="1" applyAlignment="1">
      <alignment horizontal="center"/>
    </xf>
    <xf numFmtId="3" fontId="6" fillId="0" borderId="5" xfId="0" applyNumberFormat="1" applyFont="1" applyFill="1" applyBorder="1" applyAlignment="1">
      <alignment horizontal="center"/>
    </xf>
    <xf numFmtId="3" fontId="6" fillId="0" borderId="9" xfId="0" applyNumberFormat="1" applyFont="1" applyFill="1" applyBorder="1" applyAlignment="1">
      <alignment horizontal="center"/>
    </xf>
    <xf numFmtId="3" fontId="6" fillId="0" borderId="10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/>
    </xf>
    <xf numFmtId="164" fontId="7" fillId="0" borderId="1" xfId="1" applyNumberFormat="1" applyFont="1" applyBorder="1" applyAlignment="1">
      <alignment horizontal="center" readingOrder="1"/>
    </xf>
    <xf numFmtId="164" fontId="6" fillId="0" borderId="1" xfId="1" applyNumberFormat="1" applyFont="1" applyBorder="1" applyAlignment="1">
      <alignment horizontal="center" vertical="center" readingOrder="1"/>
    </xf>
    <xf numFmtId="0" fontId="6" fillId="0" borderId="1" xfId="1" applyFont="1" applyFill="1" applyBorder="1" applyAlignment="1">
      <alignment horizontal="center" vertical="center" wrapText="1" readingOrder="2"/>
    </xf>
    <xf numFmtId="3" fontId="4" fillId="0" borderId="1" xfId="1" applyNumberFormat="1" applyFont="1" applyFill="1" applyBorder="1" applyAlignment="1">
      <alignment horizontal="right" wrapText="1" readingOrder="2"/>
    </xf>
    <xf numFmtId="3" fontId="3" fillId="0" borderId="1" xfId="1" applyNumberFormat="1" applyFont="1" applyFill="1" applyBorder="1" applyAlignment="1">
      <alignment horizontal="right" wrapText="1" readingOrder="2"/>
    </xf>
    <xf numFmtId="3" fontId="4" fillId="0" borderId="1" xfId="1" applyNumberFormat="1" applyFont="1" applyFill="1" applyBorder="1" applyAlignment="1">
      <alignment horizontal="center" vertical="top" wrapText="1" readingOrder="2"/>
    </xf>
    <xf numFmtId="3" fontId="4" fillId="0" borderId="1" xfId="1" applyNumberFormat="1" applyFont="1" applyFill="1" applyBorder="1" applyAlignment="1">
      <alignment horizontal="left" vertical="top" wrapText="1" readingOrder="2"/>
    </xf>
    <xf numFmtId="3" fontId="3" fillId="0" borderId="1" xfId="1" applyNumberFormat="1" applyFont="1" applyFill="1" applyBorder="1" applyAlignment="1">
      <alignment horizontal="center" vertical="top" wrapText="1" readingOrder="2"/>
    </xf>
    <xf numFmtId="3" fontId="4" fillId="0" borderId="1" xfId="1" applyNumberFormat="1" applyFont="1" applyFill="1" applyBorder="1" applyAlignment="1">
      <alignment horizontal="right" vertical="top" wrapText="1" readingOrder="2"/>
    </xf>
    <xf numFmtId="3" fontId="4" fillId="0" borderId="1" xfId="0" applyNumberFormat="1" applyFont="1" applyFill="1" applyBorder="1" applyAlignment="1">
      <alignment horizontal="center" wrapText="1"/>
    </xf>
    <xf numFmtId="0" fontId="3" fillId="0" borderId="14" xfId="0" applyFont="1" applyFill="1" applyBorder="1" applyAlignment="1">
      <alignment wrapText="1"/>
    </xf>
    <xf numFmtId="3" fontId="3" fillId="0" borderId="1" xfId="0" applyNumberFormat="1" applyFont="1" applyFill="1" applyBorder="1" applyAlignment="1">
      <alignment horizontal="center" wrapText="1"/>
    </xf>
    <xf numFmtId="3" fontId="4" fillId="0" borderId="0" xfId="0" applyNumberFormat="1" applyFont="1" applyFill="1" applyBorder="1" applyAlignment="1">
      <alignment horizontal="center"/>
    </xf>
    <xf numFmtId="0" fontId="3" fillId="0" borderId="1" xfId="0" applyFont="1" applyFill="1" applyBorder="1" applyAlignment="1"/>
    <xf numFmtId="0" fontId="4" fillId="0" borderId="23" xfId="0" applyFont="1" applyFill="1" applyBorder="1" applyAlignment="1"/>
    <xf numFmtId="0" fontId="4" fillId="0" borderId="25" xfId="0" applyFont="1" applyFill="1" applyBorder="1" applyAlignment="1">
      <alignment wrapText="1"/>
    </xf>
    <xf numFmtId="3" fontId="4" fillId="0" borderId="25" xfId="0" applyNumberFormat="1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3" fontId="4" fillId="3" borderId="1" xfId="0" applyNumberFormat="1" applyFont="1" applyFill="1" applyBorder="1" applyAlignment="1">
      <alignment horizontal="center" wrapText="1"/>
    </xf>
    <xf numFmtId="3" fontId="4" fillId="3" borderId="1" xfId="0" applyNumberFormat="1" applyFont="1" applyFill="1" applyBorder="1" applyAlignment="1">
      <alignment horizontal="center"/>
    </xf>
    <xf numFmtId="3" fontId="4" fillId="0" borderId="1" xfId="1" applyNumberFormat="1" applyFont="1" applyFill="1" applyBorder="1" applyAlignment="1">
      <alignment horizontal="center" wrapText="1" readingOrder="2"/>
    </xf>
    <xf numFmtId="3" fontId="3" fillId="0" borderId="1" xfId="1" applyNumberFormat="1" applyFont="1" applyFill="1" applyBorder="1" applyAlignment="1">
      <alignment horizontal="center" wrapText="1" readingOrder="1"/>
    </xf>
    <xf numFmtId="3" fontId="3" fillId="0" borderId="1" xfId="1" applyNumberFormat="1" applyFont="1" applyFill="1" applyBorder="1" applyAlignment="1">
      <alignment horizontal="center" wrapText="1" readingOrder="2"/>
    </xf>
    <xf numFmtId="3" fontId="4" fillId="0" borderId="1" xfId="1" applyNumberFormat="1" applyFont="1" applyFill="1" applyBorder="1" applyAlignment="1">
      <alignment horizontal="center" wrapText="1" readingOrder="1"/>
    </xf>
    <xf numFmtId="0" fontId="4" fillId="0" borderId="1" xfId="1" applyFont="1" applyFill="1" applyBorder="1"/>
    <xf numFmtId="0" fontId="4" fillId="0" borderId="0" xfId="0" applyFont="1" applyFill="1" applyAlignment="1"/>
    <xf numFmtId="164" fontId="7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/>
    </xf>
    <xf numFmtId="0" fontId="6" fillId="4" borderId="1" xfId="1" applyFont="1" applyFill="1" applyBorder="1" applyAlignment="1">
      <alignment horizontal="center" vertical="center" wrapText="1" readingOrder="2"/>
    </xf>
    <xf numFmtId="3" fontId="7" fillId="4" borderId="1" xfId="1" applyNumberFormat="1" applyFont="1" applyFill="1" applyBorder="1" applyAlignment="1">
      <alignment horizontal="center" readingOrder="1"/>
    </xf>
    <xf numFmtId="3" fontId="6" fillId="4" borderId="1" xfId="1" applyNumberFormat="1" applyFont="1" applyFill="1" applyBorder="1" applyAlignment="1">
      <alignment horizontal="center" readingOrder="1"/>
    </xf>
    <xf numFmtId="3" fontId="6" fillId="4" borderId="1" xfId="1" applyNumberFormat="1" applyFont="1" applyFill="1" applyBorder="1" applyAlignment="1">
      <alignment horizontal="center" vertical="center" readingOrder="1"/>
    </xf>
    <xf numFmtId="164" fontId="6" fillId="4" borderId="1" xfId="1" applyNumberFormat="1" applyFont="1" applyFill="1" applyBorder="1" applyAlignment="1">
      <alignment horizontal="center" readingOrder="1"/>
    </xf>
    <xf numFmtId="3" fontId="7" fillId="0" borderId="1" xfId="1" applyNumberFormat="1" applyFont="1" applyFill="1" applyBorder="1" applyAlignment="1">
      <alignment horizontal="center" readingOrder="1"/>
    </xf>
    <xf numFmtId="3" fontId="7" fillId="0" borderId="0" xfId="1" applyNumberFormat="1" applyFont="1" applyFill="1" applyBorder="1"/>
    <xf numFmtId="0" fontId="6" fillId="2" borderId="0" xfId="1" applyFont="1" applyFill="1" applyBorder="1" applyAlignment="1">
      <alignment horizontal="center"/>
    </xf>
    <xf numFmtId="3" fontId="7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center" vertical="top"/>
    </xf>
    <xf numFmtId="3" fontId="4" fillId="0" borderId="1" xfId="1" applyNumberFormat="1" applyFont="1" applyFill="1" applyBorder="1" applyAlignment="1">
      <alignment vertical="top" wrapText="1" readingOrder="2"/>
    </xf>
    <xf numFmtId="3" fontId="4" fillId="0" borderId="1" xfId="1" applyNumberFormat="1" applyFont="1" applyFill="1" applyBorder="1" applyAlignment="1">
      <alignment wrapText="1" readingOrder="2"/>
    </xf>
    <xf numFmtId="0" fontId="13" fillId="0" borderId="1" xfId="2" applyFont="1" applyFill="1" applyBorder="1" applyAlignment="1">
      <alignment horizontal="center" vertical="top"/>
    </xf>
    <xf numFmtId="0" fontId="7" fillId="0" borderId="1" xfId="2" applyFont="1" applyFill="1" applyBorder="1" applyAlignment="1">
      <alignment horizontal="center" vertical="top"/>
    </xf>
    <xf numFmtId="0" fontId="7" fillId="0" borderId="0" xfId="2" applyFont="1" applyFill="1" applyAlignment="1">
      <alignment horizontal="center" vertical="top"/>
    </xf>
    <xf numFmtId="0" fontId="3" fillId="0" borderId="1" xfId="2" applyFont="1" applyFill="1" applyBorder="1" applyAlignment="1">
      <alignment horizontal="center" vertical="center" wrapText="1"/>
    </xf>
    <xf numFmtId="165" fontId="3" fillId="0" borderId="1" xfId="3" applyNumberFormat="1" applyFont="1" applyFill="1" applyBorder="1" applyAlignment="1">
      <alignment horizontal="center" vertical="center" wrapText="1"/>
    </xf>
    <xf numFmtId="165" fontId="3" fillId="0" borderId="1" xfId="3" applyNumberFormat="1" applyFont="1" applyFill="1" applyBorder="1" applyAlignment="1">
      <alignment horizontal="right" vertical="center" wrapText="1"/>
    </xf>
    <xf numFmtId="0" fontId="6" fillId="0" borderId="0" xfId="2" applyFont="1" applyFill="1" applyAlignment="1">
      <alignment horizontal="center" vertical="center" wrapText="1"/>
    </xf>
    <xf numFmtId="49" fontId="7" fillId="0" borderId="1" xfId="2" applyNumberFormat="1" applyFont="1" applyFill="1" applyBorder="1" applyAlignment="1">
      <alignment horizontal="center" vertical="top" wrapText="1"/>
    </xf>
    <xf numFmtId="166" fontId="7" fillId="0" borderId="1" xfId="2" applyNumberFormat="1" applyFont="1" applyFill="1" applyBorder="1" applyAlignment="1">
      <alignment horizontal="center" vertical="top" wrapText="1"/>
    </xf>
    <xf numFmtId="4" fontId="7" fillId="0" borderId="1" xfId="2" applyNumberFormat="1" applyFont="1" applyFill="1" applyBorder="1" applyAlignment="1">
      <alignment horizontal="center" vertical="top" wrapText="1"/>
    </xf>
    <xf numFmtId="165" fontId="7" fillId="0" borderId="1" xfId="3" applyNumberFormat="1" applyFont="1" applyFill="1" applyBorder="1" applyAlignment="1">
      <alignment horizontal="center" vertical="top"/>
    </xf>
    <xf numFmtId="0" fontId="6" fillId="3" borderId="1" xfId="2" applyFont="1" applyFill="1" applyBorder="1" applyAlignment="1">
      <alignment vertical="top"/>
    </xf>
    <xf numFmtId="0" fontId="7" fillId="3" borderId="1" xfId="2" applyFont="1" applyFill="1" applyBorder="1" applyAlignment="1">
      <alignment vertical="top"/>
    </xf>
    <xf numFmtId="49" fontId="7" fillId="3" borderId="1" xfId="2" applyNumberFormat="1" applyFont="1" applyFill="1" applyBorder="1" applyAlignment="1">
      <alignment horizontal="center" vertical="top" wrapText="1"/>
    </xf>
    <xf numFmtId="166" fontId="7" fillId="3" borderId="1" xfId="2" applyNumberFormat="1" applyFont="1" applyFill="1" applyBorder="1" applyAlignment="1">
      <alignment horizontal="center" vertical="top" wrapText="1"/>
    </xf>
    <xf numFmtId="165" fontId="6" fillId="3" borderId="1" xfId="3" applyNumberFormat="1" applyFont="1" applyFill="1" applyBorder="1" applyAlignment="1">
      <alignment horizontal="center" vertical="top" wrapText="1"/>
    </xf>
    <xf numFmtId="0" fontId="7" fillId="0" borderId="0" xfId="2" applyFont="1" applyFill="1" applyBorder="1" applyAlignment="1">
      <alignment vertical="top"/>
    </xf>
    <xf numFmtId="165" fontId="7" fillId="0" borderId="1" xfId="3" applyNumberFormat="1" applyFont="1" applyFill="1" applyBorder="1" applyAlignment="1">
      <alignment horizontal="center" vertical="top" wrapText="1"/>
    </xf>
    <xf numFmtId="49" fontId="7" fillId="5" borderId="1" xfId="2" applyNumberFormat="1" applyFont="1" applyFill="1" applyBorder="1" applyAlignment="1">
      <alignment horizontal="center" vertical="top" wrapText="1"/>
    </xf>
    <xf numFmtId="166" fontId="2" fillId="5" borderId="1" xfId="0" applyNumberFormat="1" applyFont="1" applyFill="1" applyBorder="1" applyAlignment="1">
      <alignment horizontal="center" vertical="top" wrapText="1"/>
    </xf>
    <xf numFmtId="166" fontId="7" fillId="5" borderId="1" xfId="2" applyNumberFormat="1" applyFont="1" applyFill="1" applyBorder="1" applyAlignment="1">
      <alignment horizontal="center" vertical="top" wrapText="1"/>
    </xf>
    <xf numFmtId="4" fontId="7" fillId="5" borderId="1" xfId="2" applyNumberFormat="1" applyFont="1" applyFill="1" applyBorder="1" applyAlignment="1">
      <alignment horizontal="center" vertical="top" wrapText="1"/>
    </xf>
    <xf numFmtId="165" fontId="7" fillId="5" borderId="1" xfId="3" applyNumberFormat="1" applyFont="1" applyFill="1" applyBorder="1" applyAlignment="1">
      <alignment horizontal="center" vertical="top"/>
    </xf>
    <xf numFmtId="4" fontId="7" fillId="3" borderId="1" xfId="2" applyNumberFormat="1" applyFont="1" applyFill="1" applyBorder="1" applyAlignment="1">
      <alignment horizontal="center" vertical="top" wrapText="1"/>
    </xf>
    <xf numFmtId="49" fontId="6" fillId="3" borderId="1" xfId="2" applyNumberFormat="1" applyFont="1" applyFill="1" applyBorder="1" applyAlignment="1">
      <alignment horizontal="center" vertical="top" wrapText="1"/>
    </xf>
    <xf numFmtId="166" fontId="6" fillId="3" borderId="1" xfId="2" applyNumberFormat="1" applyFont="1" applyFill="1" applyBorder="1" applyAlignment="1">
      <alignment horizontal="center" vertical="top" wrapText="1"/>
    </xf>
    <xf numFmtId="0" fontId="6" fillId="0" borderId="0" xfId="2" applyFont="1" applyFill="1" applyBorder="1" applyAlignment="1">
      <alignment vertical="top"/>
    </xf>
    <xf numFmtId="165" fontId="7" fillId="6" borderId="1" xfId="3" applyNumberFormat="1" applyFont="1" applyFill="1" applyBorder="1" applyAlignment="1">
      <alignment horizontal="center" vertical="top"/>
    </xf>
    <xf numFmtId="0" fontId="6" fillId="0" borderId="1" xfId="2" applyFont="1" applyFill="1" applyBorder="1" applyAlignment="1">
      <alignment vertical="top"/>
    </xf>
    <xf numFmtId="165" fontId="7" fillId="7" borderId="1" xfId="3" applyNumberFormat="1" applyFont="1" applyFill="1" applyBorder="1" applyAlignment="1">
      <alignment horizontal="center" vertical="top"/>
    </xf>
    <xf numFmtId="4" fontId="6" fillId="3" borderId="1" xfId="2" applyNumberFormat="1" applyFont="1" applyFill="1" applyBorder="1" applyAlignment="1">
      <alignment horizontal="center" vertical="top" wrapText="1"/>
    </xf>
    <xf numFmtId="0" fontId="14" fillId="0" borderId="1" xfId="2" applyFont="1" applyFill="1" applyBorder="1" applyAlignment="1">
      <alignment horizontal="center" vertical="top"/>
    </xf>
    <xf numFmtId="49" fontId="14" fillId="5" borderId="1" xfId="2" applyNumberFormat="1" applyFont="1" applyFill="1" applyBorder="1" applyAlignment="1">
      <alignment horizontal="center" vertical="top" wrapText="1"/>
    </xf>
    <xf numFmtId="166" fontId="14" fillId="5" borderId="1" xfId="2" applyNumberFormat="1" applyFont="1" applyFill="1" applyBorder="1" applyAlignment="1">
      <alignment horizontal="center" vertical="top" wrapText="1"/>
    </xf>
    <xf numFmtId="4" fontId="14" fillId="5" borderId="1" xfId="2" applyNumberFormat="1" applyFont="1" applyFill="1" applyBorder="1" applyAlignment="1">
      <alignment horizontal="center" vertical="top" wrapText="1"/>
    </xf>
    <xf numFmtId="165" fontId="14" fillId="5" borderId="1" xfId="3" applyNumberFormat="1" applyFont="1" applyFill="1" applyBorder="1" applyAlignment="1">
      <alignment horizontal="center" vertical="top"/>
    </xf>
    <xf numFmtId="165" fontId="14" fillId="0" borderId="1" xfId="3" applyNumberFormat="1" applyFont="1" applyFill="1" applyBorder="1" applyAlignment="1">
      <alignment horizontal="center" vertical="top"/>
    </xf>
    <xf numFmtId="49" fontId="14" fillId="0" borderId="1" xfId="2" applyNumberFormat="1" applyFont="1" applyFill="1" applyBorder="1" applyAlignment="1">
      <alignment horizontal="center" vertical="top" wrapText="1"/>
    </xf>
    <xf numFmtId="166" fontId="14" fillId="0" borderId="1" xfId="2" applyNumberFormat="1" applyFont="1" applyFill="1" applyBorder="1" applyAlignment="1">
      <alignment horizontal="center" vertical="top" wrapText="1"/>
    </xf>
    <xf numFmtId="4" fontId="14" fillId="0" borderId="1" xfId="2" applyNumberFormat="1" applyFont="1" applyFill="1" applyBorder="1" applyAlignment="1">
      <alignment horizontal="center" vertical="top" wrapText="1"/>
    </xf>
    <xf numFmtId="0" fontId="15" fillId="3" borderId="1" xfId="2" applyFont="1" applyFill="1" applyBorder="1" applyAlignment="1">
      <alignment vertical="top"/>
    </xf>
    <xf numFmtId="49" fontId="14" fillId="3" borderId="1" xfId="2" applyNumberFormat="1" applyFont="1" applyFill="1" applyBorder="1" applyAlignment="1">
      <alignment horizontal="center" vertical="top" wrapText="1"/>
    </xf>
    <xf numFmtId="166" fontId="14" fillId="3" borderId="1" xfId="2" applyNumberFormat="1" applyFont="1" applyFill="1" applyBorder="1" applyAlignment="1">
      <alignment horizontal="center" vertical="top" wrapText="1"/>
    </xf>
    <xf numFmtId="4" fontId="14" fillId="3" borderId="1" xfId="2" applyNumberFormat="1" applyFont="1" applyFill="1" applyBorder="1" applyAlignment="1">
      <alignment horizontal="center" vertical="top" wrapText="1"/>
    </xf>
    <xf numFmtId="165" fontId="15" fillId="3" borderId="1" xfId="3" applyNumberFormat="1" applyFont="1" applyFill="1" applyBorder="1" applyAlignment="1">
      <alignment horizontal="center" vertical="top" wrapText="1"/>
    </xf>
    <xf numFmtId="49" fontId="7" fillId="8" borderId="1" xfId="2" applyNumberFormat="1" applyFont="1" applyFill="1" applyBorder="1" applyAlignment="1">
      <alignment horizontal="center" vertical="top" wrapText="1"/>
    </xf>
    <xf numFmtId="166" fontId="7" fillId="8" borderId="1" xfId="2" applyNumberFormat="1" applyFont="1" applyFill="1" applyBorder="1" applyAlignment="1">
      <alignment horizontal="center" vertical="top" wrapText="1"/>
    </xf>
    <xf numFmtId="4" fontId="7" fillId="8" borderId="1" xfId="2" applyNumberFormat="1" applyFont="1" applyFill="1" applyBorder="1" applyAlignment="1">
      <alignment horizontal="center" vertical="top" wrapText="1"/>
    </xf>
    <xf numFmtId="165" fontId="7" fillId="8" borderId="1" xfId="3" applyNumberFormat="1" applyFont="1" applyFill="1" applyBorder="1" applyAlignment="1">
      <alignment horizontal="center" vertical="top"/>
    </xf>
    <xf numFmtId="165" fontId="7" fillId="9" borderId="1" xfId="3" applyNumberFormat="1" applyFont="1" applyFill="1" applyBorder="1" applyAlignment="1">
      <alignment horizontal="center" vertical="top"/>
    </xf>
    <xf numFmtId="0" fontId="7" fillId="5" borderId="1" xfId="2" applyFont="1" applyFill="1" applyBorder="1" applyAlignment="1">
      <alignment horizontal="center" vertical="top"/>
    </xf>
    <xf numFmtId="0" fontId="7" fillId="3" borderId="1" xfId="2" applyFont="1" applyFill="1" applyBorder="1" applyAlignment="1">
      <alignment horizontal="center" vertical="top"/>
    </xf>
    <xf numFmtId="165" fontId="6" fillId="3" borderId="1" xfId="3" applyNumberFormat="1" applyFont="1" applyFill="1" applyBorder="1" applyAlignment="1">
      <alignment horizontal="center" vertical="top"/>
    </xf>
    <xf numFmtId="49" fontId="16" fillId="0" borderId="1" xfId="2" applyNumberFormat="1" applyFont="1" applyFill="1" applyBorder="1" applyAlignment="1">
      <alignment horizontal="center" vertical="top" wrapText="1"/>
    </xf>
    <xf numFmtId="165" fontId="16" fillId="0" borderId="1" xfId="3" applyNumberFormat="1" applyFont="1" applyFill="1" applyBorder="1" applyAlignment="1">
      <alignment vertical="top" wrapText="1"/>
    </xf>
    <xf numFmtId="165" fontId="16" fillId="0" borderId="1" xfId="3" applyNumberFormat="1" applyFont="1" applyFill="1" applyBorder="1" applyAlignment="1">
      <alignment horizontal="center" vertical="top" wrapText="1"/>
    </xf>
    <xf numFmtId="0" fontId="16" fillId="0" borderId="0" xfId="2" applyFont="1" applyFill="1" applyAlignment="1">
      <alignment horizontal="center" vertical="top"/>
    </xf>
    <xf numFmtId="165" fontId="7" fillId="0" borderId="0" xfId="3" applyNumberFormat="1" applyFont="1" applyFill="1" applyBorder="1" applyAlignment="1">
      <alignment horizontal="center" vertical="top"/>
    </xf>
    <xf numFmtId="0" fontId="17" fillId="0" borderId="0" xfId="0" applyFont="1" applyFill="1" applyBorder="1" applyAlignment="1">
      <alignment horizontal="center" vertical="top"/>
    </xf>
    <xf numFmtId="0" fontId="0" fillId="0" borderId="0" xfId="0" applyFill="1" applyBorder="1"/>
    <xf numFmtId="0" fontId="2" fillId="0" borderId="0" xfId="0" applyFont="1" applyFill="1" applyAlignment="1">
      <alignment horizontal="center" vertical="top"/>
    </xf>
    <xf numFmtId="0" fontId="18" fillId="0" borderId="1" xfId="0" applyFont="1" applyFill="1" applyBorder="1" applyAlignment="1">
      <alignment horizontal="right" vertical="top"/>
    </xf>
    <xf numFmtId="0" fontId="18" fillId="0" borderId="1" xfId="0" applyFont="1" applyFill="1" applyBorder="1" applyAlignment="1">
      <alignment horizontal="center" vertical="top"/>
    </xf>
    <xf numFmtId="3" fontId="18" fillId="0" borderId="1" xfId="0" applyNumberFormat="1" applyFont="1" applyFill="1" applyBorder="1" applyAlignment="1">
      <alignment horizontal="center" vertical="top"/>
    </xf>
    <xf numFmtId="0" fontId="18" fillId="0" borderId="0" xfId="0" applyFont="1" applyFill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49" fontId="19" fillId="0" borderId="1" xfId="0" applyNumberFormat="1" applyFont="1" applyFill="1" applyBorder="1" applyAlignment="1">
      <alignment horizontal="center" vertical="top" wrapText="1"/>
    </xf>
    <xf numFmtId="166" fontId="19" fillId="0" borderId="1" xfId="0" applyNumberFormat="1" applyFont="1" applyFill="1" applyBorder="1" applyAlignment="1">
      <alignment horizontal="center" vertical="top" wrapText="1"/>
    </xf>
    <xf numFmtId="4" fontId="19" fillId="0" borderId="1" xfId="0" applyNumberFormat="1" applyFont="1" applyFill="1" applyBorder="1" applyAlignment="1">
      <alignment horizontal="center" vertical="top" wrapText="1"/>
    </xf>
    <xf numFmtId="3" fontId="19" fillId="0" borderId="1" xfId="0" applyNumberFormat="1" applyFont="1" applyFill="1" applyBorder="1" applyAlignment="1">
      <alignment horizontal="center" vertical="top" wrapText="1"/>
    </xf>
    <xf numFmtId="0" fontId="12" fillId="0" borderId="0" xfId="0" applyFont="1" applyFill="1" applyAlignment="1">
      <alignment vertical="top"/>
    </xf>
    <xf numFmtId="0" fontId="2" fillId="0" borderId="33" xfId="0" applyFont="1" applyFill="1" applyBorder="1" applyAlignment="1">
      <alignment horizontal="center" vertical="top"/>
    </xf>
    <xf numFmtId="49" fontId="19" fillId="0" borderId="30" xfId="0" applyNumberFormat="1" applyFont="1" applyFill="1" applyBorder="1" applyAlignment="1">
      <alignment horizontal="center" vertical="top" wrapText="1"/>
    </xf>
    <xf numFmtId="166" fontId="19" fillId="0" borderId="30" xfId="0" applyNumberFormat="1" applyFont="1" applyFill="1" applyBorder="1" applyAlignment="1">
      <alignment horizontal="center" vertical="top" wrapText="1"/>
    </xf>
    <xf numFmtId="4" fontId="19" fillId="0" borderId="30" xfId="0" applyNumberFormat="1" applyFont="1" applyFill="1" applyBorder="1" applyAlignment="1">
      <alignment horizontal="center" vertical="top" wrapText="1"/>
    </xf>
    <xf numFmtId="3" fontId="19" fillId="0" borderId="32" xfId="0" applyNumberFormat="1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/>
    </xf>
    <xf numFmtId="3" fontId="19" fillId="0" borderId="5" xfId="0" applyNumberFormat="1" applyFont="1" applyFill="1" applyBorder="1" applyAlignment="1">
      <alignment horizontal="center" vertical="top" wrapText="1"/>
    </xf>
    <xf numFmtId="0" fontId="18" fillId="3" borderId="33" xfId="0" applyFont="1" applyFill="1" applyBorder="1" applyAlignment="1">
      <alignment horizontal="center" vertical="top"/>
    </xf>
    <xf numFmtId="0" fontId="18" fillId="3" borderId="30" xfId="0" applyFont="1" applyFill="1" applyBorder="1" applyAlignment="1">
      <alignment horizontal="center" vertical="top"/>
    </xf>
    <xf numFmtId="3" fontId="18" fillId="3" borderId="32" xfId="0" applyNumberFormat="1" applyFont="1" applyFill="1" applyBorder="1" applyAlignment="1">
      <alignment horizontal="center" vertical="top"/>
    </xf>
    <xf numFmtId="3" fontId="19" fillId="0" borderId="31" xfId="0" applyNumberFormat="1" applyFont="1" applyFill="1" applyBorder="1" applyAlignment="1">
      <alignment horizontal="center" vertical="top" wrapText="1"/>
    </xf>
    <xf numFmtId="49" fontId="19" fillId="0" borderId="29" xfId="0" applyNumberFormat="1" applyFont="1" applyFill="1" applyBorder="1" applyAlignment="1">
      <alignment horizontal="center" vertical="top" wrapText="1"/>
    </xf>
    <xf numFmtId="166" fontId="19" fillId="0" borderId="29" xfId="0" applyNumberFormat="1" applyFont="1" applyFill="1" applyBorder="1" applyAlignment="1">
      <alignment horizontal="center" vertical="top" wrapText="1"/>
    </xf>
    <xf numFmtId="4" fontId="19" fillId="0" borderId="29" xfId="0" applyNumberFormat="1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/>
    </xf>
    <xf numFmtId="49" fontId="19" fillId="3" borderId="16" xfId="0" applyNumberFormat="1" applyFont="1" applyFill="1" applyBorder="1" applyAlignment="1">
      <alignment horizontal="center" vertical="top" wrapText="1"/>
    </xf>
    <xf numFmtId="166" fontId="19" fillId="3" borderId="16" xfId="0" applyNumberFormat="1" applyFont="1" applyFill="1" applyBorder="1" applyAlignment="1">
      <alignment horizontal="center" vertical="top" wrapText="1"/>
    </xf>
    <xf numFmtId="4" fontId="19" fillId="3" borderId="16" xfId="0" applyNumberFormat="1" applyFont="1" applyFill="1" applyBorder="1" applyAlignment="1">
      <alignment horizontal="center" vertical="top" wrapText="1"/>
    </xf>
    <xf numFmtId="3" fontId="20" fillId="3" borderId="1" xfId="0" applyNumberFormat="1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vertical="top"/>
    </xf>
    <xf numFmtId="49" fontId="19" fillId="5" borderId="1" xfId="0" applyNumberFormat="1" applyFont="1" applyFill="1" applyBorder="1" applyAlignment="1">
      <alignment horizontal="center" vertical="top" wrapText="1"/>
    </xf>
    <xf numFmtId="0" fontId="18" fillId="3" borderId="34" xfId="0" applyFont="1" applyFill="1" applyBorder="1" applyAlignment="1">
      <alignment horizontal="right" vertical="top"/>
    </xf>
    <xf numFmtId="3" fontId="2" fillId="0" borderId="1" xfId="0" applyNumberFormat="1" applyFont="1" applyFill="1" applyBorder="1" applyAlignment="1">
      <alignment horizontal="center" vertical="top"/>
    </xf>
    <xf numFmtId="3" fontId="19" fillId="0" borderId="30" xfId="0" applyNumberFormat="1" applyFont="1" applyFill="1" applyBorder="1" applyAlignment="1">
      <alignment horizontal="center" vertical="top" wrapText="1"/>
    </xf>
    <xf numFmtId="3" fontId="20" fillId="3" borderId="31" xfId="0" applyNumberFormat="1" applyFont="1" applyFill="1" applyBorder="1" applyAlignment="1">
      <alignment horizontal="center" vertical="top" wrapText="1"/>
    </xf>
    <xf numFmtId="0" fontId="2" fillId="0" borderId="34" xfId="0" applyFont="1" applyFill="1" applyBorder="1" applyAlignment="1">
      <alignment horizontal="center" vertical="top"/>
    </xf>
    <xf numFmtId="4" fontId="19" fillId="0" borderId="16" xfId="0" applyNumberFormat="1" applyFont="1" applyFill="1" applyBorder="1" applyAlignment="1">
      <alignment horizontal="center" vertical="top" wrapText="1"/>
    </xf>
    <xf numFmtId="0" fontId="18" fillId="3" borderId="34" xfId="0" applyFont="1" applyFill="1" applyBorder="1" applyAlignment="1">
      <alignment horizontal="center" vertical="top"/>
    </xf>
    <xf numFmtId="0" fontId="2" fillId="8" borderId="1" xfId="0" applyFont="1" applyFill="1" applyBorder="1" applyAlignment="1">
      <alignment horizontal="right"/>
    </xf>
    <xf numFmtId="0" fontId="2" fillId="0" borderId="35" xfId="0" applyFont="1" applyFill="1" applyBorder="1" applyAlignment="1">
      <alignment horizontal="center" vertical="top"/>
    </xf>
    <xf numFmtId="166" fontId="19" fillId="5" borderId="1" xfId="0" applyNumberFormat="1" applyFont="1" applyFill="1" applyBorder="1" applyAlignment="1">
      <alignment horizontal="center" vertical="top" wrapText="1"/>
    </xf>
    <xf numFmtId="4" fontId="19" fillId="5" borderId="1" xfId="0" applyNumberFormat="1" applyFont="1" applyFill="1" applyBorder="1" applyAlignment="1">
      <alignment horizontal="center" vertical="top" wrapText="1"/>
    </xf>
    <xf numFmtId="3" fontId="19" fillId="5" borderId="1" xfId="0" applyNumberFormat="1" applyFont="1" applyFill="1" applyBorder="1" applyAlignment="1">
      <alignment horizontal="center" vertical="top" wrapText="1"/>
    </xf>
    <xf numFmtId="49" fontId="19" fillId="3" borderId="30" xfId="0" applyNumberFormat="1" applyFont="1" applyFill="1" applyBorder="1" applyAlignment="1">
      <alignment horizontal="center" vertical="top" wrapText="1"/>
    </xf>
    <xf numFmtId="166" fontId="19" fillId="3" borderId="30" xfId="0" applyNumberFormat="1" applyFont="1" applyFill="1" applyBorder="1" applyAlignment="1">
      <alignment horizontal="center" vertical="top" wrapText="1"/>
    </xf>
    <xf numFmtId="4" fontId="19" fillId="3" borderId="30" xfId="0" applyNumberFormat="1" applyFont="1" applyFill="1" applyBorder="1" applyAlignment="1">
      <alignment horizontal="center" vertical="top" wrapText="1"/>
    </xf>
    <xf numFmtId="166" fontId="19" fillId="0" borderId="17" xfId="0" applyNumberFormat="1" applyFont="1" applyFill="1" applyBorder="1" applyAlignment="1">
      <alignment horizontal="center" vertical="top" wrapText="1"/>
    </xf>
    <xf numFmtId="166" fontId="19" fillId="0" borderId="21" xfId="0" applyNumberFormat="1" applyFont="1" applyFill="1" applyBorder="1" applyAlignment="1">
      <alignment horizontal="center" vertical="top" wrapText="1"/>
    </xf>
    <xf numFmtId="0" fontId="18" fillId="3" borderId="36" xfId="0" applyFont="1" applyFill="1" applyBorder="1" applyAlignment="1">
      <alignment horizontal="right" vertical="top"/>
    </xf>
    <xf numFmtId="49" fontId="19" fillId="3" borderId="21" xfId="0" applyNumberFormat="1" applyFont="1" applyFill="1" applyBorder="1" applyAlignment="1">
      <alignment horizontal="center" vertical="top" wrapText="1"/>
    </xf>
    <xf numFmtId="166" fontId="19" fillId="3" borderId="21" xfId="0" applyNumberFormat="1" applyFont="1" applyFill="1" applyBorder="1" applyAlignment="1">
      <alignment horizontal="center" vertical="top" wrapText="1"/>
    </xf>
    <xf numFmtId="49" fontId="19" fillId="3" borderId="1" xfId="0" applyNumberFormat="1" applyFont="1" applyFill="1" applyBorder="1" applyAlignment="1">
      <alignment horizontal="center" vertical="top" wrapText="1"/>
    </xf>
    <xf numFmtId="166" fontId="19" fillId="3" borderId="1" xfId="0" applyNumberFormat="1" applyFont="1" applyFill="1" applyBorder="1" applyAlignment="1">
      <alignment horizontal="center" vertical="top" wrapText="1"/>
    </xf>
    <xf numFmtId="4" fontId="19" fillId="3" borderId="1" xfId="0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vertical="top"/>
    </xf>
    <xf numFmtId="0" fontId="2" fillId="0" borderId="16" xfId="0" applyFont="1" applyFill="1" applyBorder="1" applyAlignment="1">
      <alignment horizontal="center" vertical="top"/>
    </xf>
    <xf numFmtId="0" fontId="12" fillId="3" borderId="0" xfId="0" applyFont="1" applyFill="1" applyAlignment="1">
      <alignment vertical="top"/>
    </xf>
    <xf numFmtId="49" fontId="20" fillId="0" borderId="1" xfId="0" applyNumberFormat="1" applyFont="1" applyFill="1" applyBorder="1" applyAlignment="1">
      <alignment horizontal="center" vertical="top" wrapText="1"/>
    </xf>
    <xf numFmtId="0" fontId="18" fillId="0" borderId="34" xfId="0" applyFont="1" applyFill="1" applyBorder="1" applyAlignment="1">
      <alignment horizontal="right" vertical="top"/>
    </xf>
    <xf numFmtId="3" fontId="20" fillId="3" borderId="30" xfId="0" applyNumberFormat="1" applyFont="1" applyFill="1" applyBorder="1" applyAlignment="1">
      <alignment horizontal="center" vertical="top" wrapText="1"/>
    </xf>
    <xf numFmtId="0" fontId="18" fillId="3" borderId="1" xfId="0" applyFont="1" applyFill="1" applyBorder="1" applyAlignment="1">
      <alignment horizontal="right" vertical="top"/>
    </xf>
    <xf numFmtId="4" fontId="12" fillId="3" borderId="0" xfId="0" applyNumberFormat="1" applyFont="1" applyFill="1" applyAlignment="1">
      <alignment vertical="top"/>
    </xf>
    <xf numFmtId="0" fontId="12" fillId="0" borderId="0" xfId="0" applyFont="1" applyFill="1" applyAlignment="1">
      <alignment horizontal="right" vertical="top"/>
    </xf>
    <xf numFmtId="3" fontId="12" fillId="0" borderId="0" xfId="0" applyNumberFormat="1" applyFont="1" applyFill="1" applyAlignment="1">
      <alignment horizontal="center" vertical="top"/>
    </xf>
    <xf numFmtId="0" fontId="21" fillId="0" borderId="0" xfId="0" applyFont="1" applyFill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18" fillId="0" borderId="1" xfId="4" applyFont="1" applyFill="1" applyBorder="1" applyAlignment="1">
      <alignment horizontal="center" vertical="top"/>
    </xf>
    <xf numFmtId="0" fontId="18" fillId="8" borderId="1" xfId="4" applyFont="1" applyFill="1" applyBorder="1" applyAlignment="1">
      <alignment horizontal="center" vertical="top"/>
    </xf>
    <xf numFmtId="0" fontId="18" fillId="0" borderId="1" xfId="4" applyFont="1" applyFill="1" applyBorder="1" applyAlignment="1">
      <alignment horizontal="right" vertical="top"/>
    </xf>
    <xf numFmtId="0" fontId="18" fillId="0" borderId="0" xfId="4" applyFont="1" applyFill="1" applyAlignment="1">
      <alignment horizontal="center" vertical="top"/>
    </xf>
    <xf numFmtId="0" fontId="12" fillId="0" borderId="1" xfId="4" applyFont="1" applyFill="1" applyBorder="1" applyAlignment="1">
      <alignment horizontal="center" vertical="top"/>
    </xf>
    <xf numFmtId="49" fontId="19" fillId="8" borderId="1" xfId="4" applyNumberFormat="1" applyFont="1" applyFill="1" applyBorder="1" applyAlignment="1">
      <alignment horizontal="center" vertical="top" wrapText="1"/>
    </xf>
    <xf numFmtId="166" fontId="19" fillId="8" borderId="1" xfId="4" applyNumberFormat="1" applyFont="1" applyFill="1" applyBorder="1" applyAlignment="1">
      <alignment horizontal="center" vertical="top" wrapText="1"/>
    </xf>
    <xf numFmtId="49" fontId="19" fillId="0" borderId="1" xfId="4" applyNumberFormat="1" applyFont="1" applyFill="1" applyBorder="1" applyAlignment="1">
      <alignment horizontal="center" vertical="top" wrapText="1"/>
    </xf>
    <xf numFmtId="4" fontId="19" fillId="0" borderId="1" xfId="4" applyNumberFormat="1" applyFont="1" applyFill="1" applyBorder="1" applyAlignment="1">
      <alignment horizontal="center" vertical="top" wrapText="1"/>
    </xf>
    <xf numFmtId="3" fontId="12" fillId="0" borderId="1" xfId="4" applyNumberFormat="1" applyFont="1" applyFill="1" applyBorder="1" applyAlignment="1">
      <alignment horizontal="right" vertical="top"/>
    </xf>
    <xf numFmtId="3" fontId="19" fillId="0" borderId="1" xfId="4" applyNumberFormat="1" applyFont="1" applyFill="1" applyBorder="1" applyAlignment="1">
      <alignment horizontal="center" vertical="top" wrapText="1"/>
    </xf>
    <xf numFmtId="0" fontId="12" fillId="0" borderId="0" xfId="4" applyFont="1" applyFill="1" applyAlignment="1">
      <alignment vertical="top"/>
    </xf>
    <xf numFmtId="49" fontId="22" fillId="5" borderId="1" xfId="4" applyNumberFormat="1" applyFont="1" applyFill="1" applyBorder="1" applyAlignment="1">
      <alignment horizontal="center" vertical="top" wrapText="1"/>
    </xf>
    <xf numFmtId="166" fontId="19" fillId="5" borderId="1" xfId="4" applyNumberFormat="1" applyFont="1" applyFill="1" applyBorder="1" applyAlignment="1">
      <alignment horizontal="center" vertical="top" wrapText="1"/>
    </xf>
    <xf numFmtId="49" fontId="19" fillId="5" borderId="1" xfId="4" applyNumberFormat="1" applyFont="1" applyFill="1" applyBorder="1" applyAlignment="1">
      <alignment horizontal="center" vertical="top" wrapText="1"/>
    </xf>
    <xf numFmtId="4" fontId="19" fillId="5" borderId="1" xfId="4" applyNumberFormat="1" applyFont="1" applyFill="1" applyBorder="1" applyAlignment="1">
      <alignment horizontal="center" vertical="top" wrapText="1"/>
    </xf>
    <xf numFmtId="3" fontId="12" fillId="5" borderId="1" xfId="4" applyNumberFormat="1" applyFont="1" applyFill="1" applyBorder="1" applyAlignment="1">
      <alignment horizontal="right" vertical="top"/>
    </xf>
    <xf numFmtId="3" fontId="19" fillId="5" borderId="1" xfId="4" applyNumberFormat="1" applyFont="1" applyFill="1" applyBorder="1" applyAlignment="1">
      <alignment horizontal="center" vertical="top" wrapText="1"/>
    </xf>
    <xf numFmtId="0" fontId="23" fillId="3" borderId="1" xfId="4" applyFont="1" applyFill="1" applyBorder="1" applyAlignment="1">
      <alignment vertical="top"/>
    </xf>
    <xf numFmtId="49" fontId="20" fillId="3" borderId="1" xfId="4" applyNumberFormat="1" applyFont="1" applyFill="1" applyBorder="1" applyAlignment="1">
      <alignment horizontal="center" vertical="top" wrapText="1"/>
    </xf>
    <xf numFmtId="166" fontId="20" fillId="3" borderId="1" xfId="4" applyNumberFormat="1" applyFont="1" applyFill="1" applyBorder="1" applyAlignment="1">
      <alignment horizontal="center" vertical="top" wrapText="1"/>
    </xf>
    <xf numFmtId="4" fontId="20" fillId="3" borderId="1" xfId="4" applyNumberFormat="1" applyFont="1" applyFill="1" applyBorder="1" applyAlignment="1">
      <alignment horizontal="center" vertical="top" wrapText="1"/>
    </xf>
    <xf numFmtId="3" fontId="20" fillId="3" borderId="1" xfId="4" applyNumberFormat="1" applyFont="1" applyFill="1" applyBorder="1" applyAlignment="1">
      <alignment horizontal="right" vertical="top" wrapText="1"/>
    </xf>
    <xf numFmtId="3" fontId="20" fillId="3" borderId="1" xfId="4" applyNumberFormat="1" applyFont="1" applyFill="1" applyBorder="1" applyAlignment="1">
      <alignment horizontal="center" vertical="top" wrapText="1"/>
    </xf>
    <xf numFmtId="0" fontId="23" fillId="0" borderId="0" xfId="4" applyFont="1" applyFill="1" applyAlignment="1">
      <alignment vertical="top"/>
    </xf>
    <xf numFmtId="0" fontId="12" fillId="0" borderId="0" xfId="0" applyFont="1"/>
    <xf numFmtId="0" fontId="23" fillId="3" borderId="1" xfId="4" applyFont="1" applyFill="1" applyBorder="1" applyAlignment="1">
      <alignment horizontal="center" vertical="top"/>
    </xf>
    <xf numFmtId="0" fontId="23" fillId="0" borderId="1" xfId="4" applyFont="1" applyFill="1" applyBorder="1" applyAlignment="1">
      <alignment horizontal="center" vertical="top"/>
    </xf>
    <xf numFmtId="49" fontId="20" fillId="8" borderId="1" xfId="4" applyNumberFormat="1" applyFont="1" applyFill="1" applyBorder="1" applyAlignment="1">
      <alignment horizontal="center" vertical="top" wrapText="1"/>
    </xf>
    <xf numFmtId="166" fontId="20" fillId="8" borderId="1" xfId="4" applyNumberFormat="1" applyFont="1" applyFill="1" applyBorder="1" applyAlignment="1">
      <alignment horizontal="center" vertical="top" wrapText="1"/>
    </xf>
    <xf numFmtId="4" fontId="20" fillId="0" borderId="1" xfId="4" applyNumberFormat="1" applyFont="1" applyFill="1" applyBorder="1" applyAlignment="1">
      <alignment horizontal="center" vertical="top" wrapText="1"/>
    </xf>
    <xf numFmtId="3" fontId="20" fillId="0" borderId="1" xfId="4" applyNumberFormat="1" applyFont="1" applyFill="1" applyBorder="1" applyAlignment="1">
      <alignment horizontal="right" vertical="top" wrapText="1"/>
    </xf>
    <xf numFmtId="3" fontId="20" fillId="0" borderId="1" xfId="4" applyNumberFormat="1" applyFont="1" applyFill="1" applyBorder="1" applyAlignment="1">
      <alignment horizontal="center" vertical="top" wrapText="1"/>
    </xf>
    <xf numFmtId="0" fontId="18" fillId="3" borderId="1" xfId="4" applyFont="1" applyFill="1" applyBorder="1" applyAlignment="1">
      <alignment horizontal="center" vertical="top"/>
    </xf>
    <xf numFmtId="49" fontId="24" fillId="8" borderId="1" xfId="4" applyNumberFormat="1" applyFont="1" applyFill="1" applyBorder="1" applyAlignment="1">
      <alignment horizontal="center" vertical="top" wrapText="1"/>
    </xf>
    <xf numFmtId="3" fontId="20" fillId="8" borderId="1" xfId="4" applyNumberFormat="1" applyFont="1" applyFill="1" applyBorder="1" applyAlignment="1">
      <alignment horizontal="right" vertical="top" wrapText="1"/>
    </xf>
    <xf numFmtId="3" fontId="24" fillId="8" borderId="1" xfId="4" applyNumberFormat="1" applyFont="1" applyFill="1" applyBorder="1" applyAlignment="1">
      <alignment horizontal="center" vertical="top" wrapText="1"/>
    </xf>
    <xf numFmtId="49" fontId="24" fillId="8" borderId="17" xfId="4" applyNumberFormat="1" applyFont="1" applyFill="1" applyBorder="1" applyAlignment="1">
      <alignment horizontal="center" vertical="top" wrapText="1"/>
    </xf>
    <xf numFmtId="0" fontId="18" fillId="0" borderId="0" xfId="4" applyFont="1" applyFill="1" applyAlignment="1">
      <alignment vertical="top"/>
    </xf>
    <xf numFmtId="0" fontId="12" fillId="0" borderId="0" xfId="4" applyFont="1" applyFill="1" applyAlignment="1">
      <alignment horizontal="right" vertical="top"/>
    </xf>
    <xf numFmtId="164" fontId="4" fillId="0" borderId="1" xfId="0" applyNumberFormat="1" applyFont="1" applyFill="1" applyBorder="1"/>
    <xf numFmtId="164" fontId="4" fillId="0" borderId="1" xfId="1" applyNumberFormat="1" applyFont="1" applyFill="1" applyBorder="1" applyAlignment="1">
      <alignment horizontal="center"/>
    </xf>
    <xf numFmtId="164" fontId="3" fillId="0" borderId="1" xfId="1" applyNumberFormat="1" applyFont="1" applyFill="1" applyBorder="1" applyAlignment="1">
      <alignment horizontal="center"/>
    </xf>
    <xf numFmtId="164" fontId="3" fillId="0" borderId="1" xfId="0" applyNumberFormat="1" applyFont="1" applyFill="1" applyBorder="1"/>
    <xf numFmtId="0" fontId="6" fillId="0" borderId="1" xfId="0" applyFont="1" applyFill="1" applyBorder="1" applyAlignment="1">
      <alignment horizontal="center"/>
    </xf>
    <xf numFmtId="3" fontId="7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3" fontId="4" fillId="0" borderId="1" xfId="1" applyNumberFormat="1" applyFont="1" applyFill="1" applyBorder="1" applyAlignment="1">
      <alignment horizontal="right" wrapText="1" readingOrder="1"/>
    </xf>
    <xf numFmtId="0" fontId="25" fillId="0" borderId="0" xfId="1" applyFont="1" applyFill="1" applyBorder="1"/>
    <xf numFmtId="3" fontId="7" fillId="0" borderId="13" xfId="0" applyNumberFormat="1" applyFont="1" applyFill="1" applyBorder="1" applyAlignment="1">
      <alignment horizontal="center"/>
    </xf>
    <xf numFmtId="0" fontId="25" fillId="0" borderId="0" xfId="0" applyFont="1" applyFill="1"/>
    <xf numFmtId="0" fontId="3" fillId="10" borderId="1" xfId="0" applyFont="1" applyFill="1" applyBorder="1" applyAlignment="1">
      <alignment horizontal="right" vertical="center"/>
    </xf>
    <xf numFmtId="164" fontId="3" fillId="10" borderId="1" xfId="0" applyNumberFormat="1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horizontal="center"/>
    </xf>
    <xf numFmtId="164" fontId="3" fillId="1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1" xfId="5" applyFont="1" applyFill="1" applyBorder="1" applyAlignment="1">
      <alignment vertical="center" wrapText="1"/>
    </xf>
    <xf numFmtId="0" fontId="4" fillId="0" borderId="1" xfId="5" applyFont="1" applyFill="1" applyBorder="1" applyAlignment="1">
      <alignment vertical="center" wrapText="1"/>
    </xf>
    <xf numFmtId="14" fontId="4" fillId="0" borderId="1" xfId="5" applyNumberFormat="1" applyFont="1" applyFill="1" applyBorder="1" applyAlignment="1">
      <alignment vertical="center" wrapText="1"/>
    </xf>
    <xf numFmtId="43" fontId="4" fillId="0" borderId="1" xfId="3" applyFont="1" applyFill="1" applyBorder="1" applyAlignment="1">
      <alignment vertical="center" wrapText="1"/>
    </xf>
    <xf numFmtId="49" fontId="4" fillId="0" borderId="1" xfId="5" applyNumberFormat="1" applyFont="1" applyFill="1" applyBorder="1" applyAlignment="1">
      <alignment vertical="center" wrapText="1"/>
    </xf>
    <xf numFmtId="2" fontId="4" fillId="0" borderId="1" xfId="5" applyNumberFormat="1" applyFont="1" applyFill="1" applyBorder="1" applyAlignment="1">
      <alignment vertical="center" wrapText="1"/>
    </xf>
    <xf numFmtId="43" fontId="3" fillId="0" borderId="1" xfId="0" applyNumberFormat="1" applyFont="1" applyFill="1" applyBorder="1"/>
    <xf numFmtId="0" fontId="3" fillId="11" borderId="1" xfId="5" applyFont="1" applyFill="1" applyBorder="1" applyAlignment="1">
      <alignment vertical="center" wrapText="1"/>
    </xf>
    <xf numFmtId="0" fontId="4" fillId="11" borderId="1" xfId="5" applyFont="1" applyFill="1" applyBorder="1" applyAlignment="1">
      <alignment vertical="center" wrapText="1"/>
    </xf>
    <xf numFmtId="14" fontId="4" fillId="11" borderId="1" xfId="5" applyNumberFormat="1" applyFont="1" applyFill="1" applyBorder="1" applyAlignment="1">
      <alignment vertical="center" wrapText="1"/>
    </xf>
    <xf numFmtId="49" fontId="4" fillId="11" borderId="1" xfId="5" applyNumberFormat="1" applyFont="1" applyFill="1" applyBorder="1" applyAlignment="1">
      <alignment horizontal="center" vertical="center" wrapText="1"/>
    </xf>
    <xf numFmtId="43" fontId="4" fillId="11" borderId="1" xfId="3" applyFont="1" applyFill="1" applyBorder="1" applyAlignment="1">
      <alignment vertical="center" wrapText="1"/>
    </xf>
    <xf numFmtId="49" fontId="4" fillId="0" borderId="1" xfId="5" applyNumberFormat="1" applyFont="1" applyFill="1" applyBorder="1" applyAlignment="1">
      <alignment horizontal="center" vertical="center" wrapText="1"/>
    </xf>
    <xf numFmtId="43" fontId="3" fillId="0" borderId="1" xfId="3" applyFont="1" applyFill="1" applyBorder="1" applyAlignment="1">
      <alignment vertical="center" wrapText="1"/>
    </xf>
    <xf numFmtId="0" fontId="26" fillId="0" borderId="0" xfId="1" applyFont="1" applyFill="1" applyBorder="1"/>
    <xf numFmtId="43" fontId="26" fillId="0" borderId="0" xfId="1" applyNumberFormat="1" applyFont="1" applyFill="1" applyBorder="1"/>
    <xf numFmtId="0" fontId="26" fillId="0" borderId="0" xfId="0" applyFont="1" applyFill="1"/>
    <xf numFmtId="43" fontId="26" fillId="0" borderId="0" xfId="0" applyNumberFormat="1" applyFont="1" applyFill="1"/>
    <xf numFmtId="0" fontId="4" fillId="8" borderId="1" xfId="0" applyFont="1" applyFill="1" applyBorder="1" applyAlignment="1">
      <alignment horizontal="right"/>
    </xf>
    <xf numFmtId="166" fontId="28" fillId="0" borderId="1" xfId="0" applyNumberFormat="1" applyFont="1" applyFill="1" applyBorder="1" applyAlignment="1">
      <alignment horizontal="center" vertical="center" wrapText="1"/>
    </xf>
    <xf numFmtId="165" fontId="4" fillId="0" borderId="1" xfId="6" applyNumberFormat="1" applyFont="1" applyFill="1" applyBorder="1"/>
    <xf numFmtId="165" fontId="4" fillId="0" borderId="1" xfId="6" applyNumberFormat="1" applyFont="1" applyFill="1" applyBorder="1" applyAlignment="1">
      <alignment horizontal="center" vertical="top" wrapText="1"/>
    </xf>
    <xf numFmtId="165" fontId="3" fillId="0" borderId="1" xfId="6" applyNumberFormat="1" applyFont="1" applyFill="1" applyBorder="1"/>
    <xf numFmtId="165" fontId="3" fillId="0" borderId="1" xfId="6" applyNumberFormat="1" applyFont="1" applyFill="1" applyBorder="1" applyAlignment="1">
      <alignment horizontal="center" vertical="top" wrapText="1"/>
    </xf>
    <xf numFmtId="3" fontId="7" fillId="0" borderId="0" xfId="0" applyNumberFormat="1" applyFont="1" applyFill="1"/>
    <xf numFmtId="0" fontId="3" fillId="0" borderId="1" xfId="0" applyFont="1" applyFill="1" applyBorder="1" applyAlignment="1">
      <alignment horizontal="center" vertical="center"/>
    </xf>
    <xf numFmtId="3" fontId="25" fillId="0" borderId="0" xfId="1" applyNumberFormat="1" applyFont="1" applyFill="1" applyBorder="1" applyAlignment="1">
      <alignment horizontal="center"/>
    </xf>
    <xf numFmtId="0" fontId="25" fillId="0" borderId="0" xfId="1" applyFont="1" applyFill="1" applyBorder="1" applyAlignment="1">
      <alignment horizontal="center"/>
    </xf>
    <xf numFmtId="3" fontId="25" fillId="0" borderId="0" xfId="1" applyNumberFormat="1" applyFont="1" applyFill="1" applyBorder="1"/>
    <xf numFmtId="0" fontId="2" fillId="0" borderId="0" xfId="0" applyFont="1" applyFill="1"/>
    <xf numFmtId="0" fontId="6" fillId="8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/>
    </xf>
    <xf numFmtId="3" fontId="7" fillId="8" borderId="1" xfId="0" applyNumberFormat="1" applyFont="1" applyFill="1" applyBorder="1" applyAlignment="1">
      <alignment horizontal="center"/>
    </xf>
    <xf numFmtId="3" fontId="6" fillId="8" borderId="1" xfId="0" applyNumberFormat="1" applyFont="1" applyFill="1" applyBorder="1" applyAlignment="1">
      <alignment horizontal="center"/>
    </xf>
    <xf numFmtId="3" fontId="6" fillId="8" borderId="9" xfId="0" applyNumberFormat="1" applyFont="1" applyFill="1" applyBorder="1" applyAlignment="1">
      <alignment horizontal="center"/>
    </xf>
    <xf numFmtId="0" fontId="25" fillId="8" borderId="0" xfId="1" applyFont="1" applyFill="1" applyBorder="1"/>
    <xf numFmtId="3" fontId="25" fillId="8" borderId="0" xfId="1" applyNumberFormat="1" applyFont="1" applyFill="1" applyBorder="1"/>
    <xf numFmtId="0" fontId="7" fillId="8" borderId="0" xfId="1" applyFont="1" applyFill="1" applyBorder="1"/>
    <xf numFmtId="0" fontId="7" fillId="8" borderId="0" xfId="0" applyFont="1" applyFill="1"/>
    <xf numFmtId="3" fontId="7" fillId="8" borderId="1" xfId="0" applyNumberFormat="1" applyFont="1" applyFill="1" applyBorder="1" applyAlignment="1">
      <alignment horizontal="center" vertical="center"/>
    </xf>
    <xf numFmtId="3" fontId="7" fillId="8" borderId="30" xfId="0" applyNumberFormat="1" applyFont="1" applyFill="1" applyBorder="1" applyAlignment="1">
      <alignment horizontal="center" vertical="center"/>
    </xf>
    <xf numFmtId="0" fontId="17" fillId="0" borderId="0" xfId="0" applyFont="1" applyAlignment="1"/>
    <xf numFmtId="0" fontId="31" fillId="0" borderId="0" xfId="0" applyFont="1"/>
    <xf numFmtId="0" fontId="31" fillId="0" borderId="0" xfId="0" applyFont="1" applyBorder="1"/>
    <xf numFmtId="0" fontId="31" fillId="0" borderId="0" xfId="0" applyFont="1" applyBorder="1" applyAlignment="1">
      <alignment horizontal="center"/>
    </xf>
    <xf numFmtId="0" fontId="31" fillId="0" borderId="37" xfId="0" applyFont="1" applyBorder="1"/>
    <xf numFmtId="165" fontId="31" fillId="0" borderId="0" xfId="7" applyNumberFormat="1" applyFont="1" applyAlignment="1">
      <alignment horizontal="center"/>
    </xf>
    <xf numFmtId="167" fontId="31" fillId="0" borderId="0" xfId="7" applyNumberFormat="1" applyFont="1" applyBorder="1" applyAlignment="1">
      <alignment horizontal="center"/>
    </xf>
    <xf numFmtId="165" fontId="31" fillId="0" borderId="0" xfId="7" applyNumberFormat="1" applyFont="1" applyBorder="1" applyAlignment="1">
      <alignment horizontal="center"/>
    </xf>
    <xf numFmtId="9" fontId="31" fillId="0" borderId="0" xfId="7" applyNumberFormat="1" applyFont="1" applyBorder="1" applyAlignment="1">
      <alignment horizontal="center"/>
    </xf>
    <xf numFmtId="9" fontId="31" fillId="0" borderId="0" xfId="7" applyFont="1" applyBorder="1" applyAlignment="1">
      <alignment horizontal="center"/>
    </xf>
    <xf numFmtId="0" fontId="31" fillId="0" borderId="0" xfId="0" applyFont="1" applyAlignment="1">
      <alignment horizontal="center"/>
    </xf>
    <xf numFmtId="0" fontId="16" fillId="0" borderId="0" xfId="0" applyFont="1" applyFill="1" applyBorder="1" applyAlignment="1">
      <alignment horizontal="center" vertical="top" wrapText="1"/>
    </xf>
    <xf numFmtId="0" fontId="31" fillId="0" borderId="1" xfId="0" applyFont="1" applyBorder="1"/>
    <xf numFmtId="17" fontId="31" fillId="0" borderId="0" xfId="0" applyNumberFormat="1" applyFont="1" applyFill="1" applyBorder="1" applyAlignment="1">
      <alignment horizontal="center" vertical="top" wrapText="1"/>
    </xf>
    <xf numFmtId="0" fontId="16" fillId="0" borderId="1" xfId="0" applyFont="1" applyBorder="1"/>
    <xf numFmtId="0" fontId="31" fillId="0" borderId="45" xfId="0" applyFont="1" applyFill="1" applyBorder="1" applyAlignment="1">
      <alignment horizontal="center" vertical="top"/>
    </xf>
    <xf numFmtId="17" fontId="31" fillId="0" borderId="45" xfId="0" applyNumberFormat="1" applyFont="1" applyFill="1" applyBorder="1" applyAlignment="1">
      <alignment horizontal="center" vertical="top" wrapText="1"/>
    </xf>
    <xf numFmtId="17" fontId="31" fillId="0" borderId="47" xfId="0" applyNumberFormat="1" applyFont="1" applyFill="1" applyBorder="1" applyAlignment="1">
      <alignment horizontal="center" vertical="top" wrapText="1"/>
    </xf>
    <xf numFmtId="17" fontId="31" fillId="0" borderId="49" xfId="0" applyNumberFormat="1" applyFont="1" applyFill="1" applyBorder="1" applyAlignment="1">
      <alignment horizontal="center" vertical="top" wrapText="1"/>
    </xf>
    <xf numFmtId="0" fontId="16" fillId="0" borderId="50" xfId="0" applyFont="1" applyFill="1" applyBorder="1" applyAlignment="1">
      <alignment vertical="center" textRotation="90" wrapText="1"/>
    </xf>
    <xf numFmtId="0" fontId="31" fillId="0" borderId="50" xfId="0" applyFont="1" applyFill="1" applyBorder="1" applyAlignment="1">
      <alignment vertical="center" wrapText="1"/>
    </xf>
    <xf numFmtId="0" fontId="31" fillId="0" borderId="47" xfId="0" applyFont="1" applyFill="1" applyBorder="1" applyAlignment="1">
      <alignment horizontal="right" vertical="center" wrapText="1"/>
    </xf>
    <xf numFmtId="165" fontId="31" fillId="0" borderId="47" xfId="6" applyNumberFormat="1" applyFont="1" applyFill="1" applyBorder="1" applyAlignment="1">
      <alignment horizontal="center" vertical="center"/>
    </xf>
    <xf numFmtId="165" fontId="31" fillId="0" borderId="51" xfId="6" applyNumberFormat="1" applyFont="1" applyFill="1" applyBorder="1" applyAlignment="1">
      <alignment horizontal="center" vertical="center"/>
    </xf>
    <xf numFmtId="165" fontId="31" fillId="0" borderId="45" xfId="6" applyNumberFormat="1" applyFont="1" applyFill="1" applyBorder="1" applyAlignment="1">
      <alignment horizontal="center" vertical="center"/>
    </xf>
    <xf numFmtId="165" fontId="31" fillId="0" borderId="52" xfId="6" applyNumberFormat="1" applyFont="1" applyFill="1" applyBorder="1" applyAlignment="1">
      <alignment horizontal="center" vertical="center"/>
    </xf>
    <xf numFmtId="165" fontId="31" fillId="0" borderId="53" xfId="6" applyNumberFormat="1" applyFont="1" applyFill="1" applyBorder="1" applyAlignment="1">
      <alignment horizontal="center" vertical="center"/>
    </xf>
    <xf numFmtId="165" fontId="31" fillId="0" borderId="49" xfId="6" applyNumberFormat="1" applyFont="1" applyFill="1" applyBorder="1" applyAlignment="1">
      <alignment horizontal="center" vertical="center"/>
    </xf>
    <xf numFmtId="9" fontId="31" fillId="0" borderId="0" xfId="7" applyFont="1" applyBorder="1"/>
    <xf numFmtId="165" fontId="16" fillId="0" borderId="1" xfId="0" applyNumberFormat="1" applyFont="1" applyBorder="1"/>
    <xf numFmtId="0" fontId="31" fillId="0" borderId="54" xfId="0" applyFont="1" applyFill="1" applyBorder="1" applyAlignment="1">
      <alignment vertical="center" wrapText="1"/>
    </xf>
    <xf numFmtId="0" fontId="31" fillId="0" borderId="55" xfId="0" applyFont="1" applyFill="1" applyBorder="1" applyAlignment="1">
      <alignment horizontal="right" vertical="top" wrapText="1"/>
    </xf>
    <xf numFmtId="165" fontId="31" fillId="0" borderId="54" xfId="6" applyNumberFormat="1" applyFont="1" applyFill="1" applyBorder="1" applyAlignment="1">
      <alignment vertical="center"/>
    </xf>
    <xf numFmtId="165" fontId="31" fillId="0" borderId="22" xfId="6" applyNumberFormat="1" applyFont="1" applyFill="1" applyBorder="1" applyAlignment="1">
      <alignment horizontal="center" vertical="center"/>
    </xf>
    <xf numFmtId="165" fontId="31" fillId="0" borderId="56" xfId="6" applyNumberFormat="1" applyFont="1" applyFill="1" applyBorder="1" applyAlignment="1">
      <alignment horizontal="center" vertical="center"/>
    </xf>
    <xf numFmtId="165" fontId="31" fillId="0" borderId="32" xfId="6" applyNumberFormat="1" applyFont="1" applyFill="1" applyBorder="1" applyAlignment="1">
      <alignment horizontal="center" vertical="center"/>
    </xf>
    <xf numFmtId="165" fontId="31" fillId="0" borderId="57" xfId="6" applyNumberFormat="1" applyFont="1" applyFill="1" applyBorder="1" applyAlignment="1">
      <alignment horizontal="center" vertical="center"/>
    </xf>
    <xf numFmtId="0" fontId="31" fillId="0" borderId="49" xfId="0" applyFont="1" applyFill="1" applyBorder="1" applyAlignment="1">
      <alignment vertical="center" wrapText="1"/>
    </xf>
    <xf numFmtId="0" fontId="31" fillId="0" borderId="58" xfId="0" applyFont="1" applyFill="1" applyBorder="1" applyAlignment="1">
      <alignment horizontal="right" vertical="top" wrapText="1"/>
    </xf>
    <xf numFmtId="165" fontId="31" fillId="0" borderId="42" xfId="6" applyNumberFormat="1" applyFont="1" applyFill="1" applyBorder="1" applyAlignment="1">
      <alignment vertical="center"/>
    </xf>
    <xf numFmtId="165" fontId="31" fillId="0" borderId="17" xfId="6" applyNumberFormat="1" applyFont="1" applyFill="1" applyBorder="1" applyAlignment="1">
      <alignment horizontal="center" vertical="center"/>
    </xf>
    <xf numFmtId="165" fontId="31" fillId="0" borderId="59" xfId="6" applyNumberFormat="1" applyFont="1" applyFill="1" applyBorder="1" applyAlignment="1">
      <alignment horizontal="center" vertical="center"/>
    </xf>
    <xf numFmtId="165" fontId="31" fillId="0" borderId="5" xfId="6" applyNumberFormat="1" applyFont="1" applyFill="1" applyBorder="1" applyAlignment="1">
      <alignment horizontal="center" vertical="center"/>
    </xf>
    <xf numFmtId="165" fontId="31" fillId="0" borderId="60" xfId="6" applyNumberFormat="1" applyFont="1" applyFill="1" applyBorder="1" applyAlignment="1">
      <alignment horizontal="center" vertical="center"/>
    </xf>
    <xf numFmtId="0" fontId="31" fillId="0" borderId="61" xfId="0" applyFont="1" applyFill="1" applyBorder="1" applyAlignment="1">
      <alignment vertical="center" wrapText="1"/>
    </xf>
    <xf numFmtId="0" fontId="31" fillId="0" borderId="62" xfId="0" applyFont="1" applyFill="1" applyBorder="1" applyAlignment="1">
      <alignment horizontal="right" vertical="top" wrapText="1"/>
    </xf>
    <xf numFmtId="165" fontId="31" fillId="0" borderId="63" xfId="6" applyNumberFormat="1" applyFont="1" applyFill="1" applyBorder="1" applyAlignment="1">
      <alignment vertical="center"/>
    </xf>
    <xf numFmtId="0" fontId="31" fillId="0" borderId="64" xfId="0" applyFont="1" applyFill="1" applyBorder="1" applyAlignment="1">
      <alignment vertical="center" wrapText="1"/>
    </xf>
    <xf numFmtId="0" fontId="31" fillId="0" borderId="63" xfId="0" applyFont="1" applyFill="1" applyBorder="1" applyAlignment="1">
      <alignment horizontal="right" vertical="top" wrapText="1"/>
    </xf>
    <xf numFmtId="165" fontId="31" fillId="0" borderId="16" xfId="6" applyNumberFormat="1" applyFont="1" applyFill="1" applyBorder="1" applyAlignment="1">
      <alignment vertical="center"/>
    </xf>
    <xf numFmtId="165" fontId="31" fillId="0" borderId="65" xfId="6" applyNumberFormat="1" applyFont="1" applyFill="1" applyBorder="1" applyAlignment="1">
      <alignment horizontal="center" vertical="center"/>
    </xf>
    <xf numFmtId="0" fontId="31" fillId="0" borderId="66" xfId="0" applyFont="1" applyFill="1" applyBorder="1" applyAlignment="1">
      <alignment vertical="center" wrapText="1"/>
    </xf>
    <xf numFmtId="0" fontId="16" fillId="0" borderId="66" xfId="0" applyFont="1" applyFill="1" applyBorder="1" applyAlignment="1">
      <alignment horizontal="right" vertical="top" wrapText="1"/>
    </xf>
    <xf numFmtId="164" fontId="31" fillId="0" borderId="67" xfId="8" applyNumberFormat="1" applyFont="1" applyFill="1" applyBorder="1" applyAlignment="1">
      <alignment horizontal="right"/>
    </xf>
    <xf numFmtId="165" fontId="31" fillId="0" borderId="68" xfId="6" applyNumberFormat="1" applyFont="1" applyFill="1" applyBorder="1" applyAlignment="1">
      <alignment horizontal="center" vertical="center"/>
    </xf>
    <xf numFmtId="165" fontId="31" fillId="0" borderId="69" xfId="6" applyNumberFormat="1" applyFont="1" applyFill="1" applyBorder="1" applyAlignment="1">
      <alignment horizontal="center" vertical="center"/>
    </xf>
    <xf numFmtId="165" fontId="31" fillId="0" borderId="10" xfId="6" applyNumberFormat="1" applyFont="1" applyFill="1" applyBorder="1" applyAlignment="1">
      <alignment horizontal="center" vertical="center"/>
    </xf>
    <xf numFmtId="165" fontId="31" fillId="0" borderId="70" xfId="6" applyNumberFormat="1" applyFont="1" applyFill="1" applyBorder="1" applyAlignment="1">
      <alignment horizontal="center" vertical="center"/>
    </xf>
    <xf numFmtId="0" fontId="16" fillId="0" borderId="71" xfId="0" applyFont="1" applyFill="1" applyBorder="1" applyAlignment="1">
      <alignment horizontal="left" vertical="center" wrapText="1"/>
    </xf>
    <xf numFmtId="0" fontId="16" fillId="0" borderId="72" xfId="0" applyFont="1" applyFill="1" applyBorder="1" applyAlignment="1">
      <alignment horizontal="left" vertical="center" wrapText="1"/>
    </xf>
    <xf numFmtId="0" fontId="16" fillId="0" borderId="73" xfId="0" applyFont="1" applyFill="1" applyBorder="1" applyAlignment="1">
      <alignment horizontal="center" vertical="center" wrapText="1"/>
    </xf>
    <xf numFmtId="165" fontId="16" fillId="0" borderId="74" xfId="0" applyNumberFormat="1" applyFont="1" applyFill="1" applyBorder="1" applyAlignment="1">
      <alignment vertical="center"/>
    </xf>
    <xf numFmtId="165" fontId="16" fillId="0" borderId="75" xfId="0" applyNumberFormat="1" applyFont="1" applyFill="1" applyBorder="1" applyAlignment="1">
      <alignment vertical="center"/>
    </xf>
    <xf numFmtId="165" fontId="16" fillId="0" borderId="76" xfId="0" applyNumberFormat="1" applyFont="1" applyFill="1" applyBorder="1" applyAlignment="1">
      <alignment vertical="center"/>
    </xf>
    <xf numFmtId="165" fontId="16" fillId="0" borderId="77" xfId="0" applyNumberFormat="1" applyFont="1" applyFill="1" applyBorder="1" applyAlignment="1">
      <alignment vertical="center"/>
    </xf>
    <xf numFmtId="165" fontId="16" fillId="0" borderId="78" xfId="0" applyNumberFormat="1" applyFont="1" applyFill="1" applyBorder="1" applyAlignment="1">
      <alignment vertical="center"/>
    </xf>
    <xf numFmtId="165" fontId="16" fillId="0" borderId="79" xfId="0" applyNumberFormat="1" applyFont="1" applyFill="1" applyBorder="1" applyAlignment="1">
      <alignment vertical="center"/>
    </xf>
    <xf numFmtId="165" fontId="16" fillId="0" borderId="49" xfId="0" applyNumberFormat="1" applyFont="1" applyFill="1" applyBorder="1" applyAlignment="1">
      <alignment vertical="center"/>
    </xf>
    <xf numFmtId="9" fontId="31" fillId="0" borderId="0" xfId="0" applyNumberFormat="1" applyFont="1" applyBorder="1"/>
    <xf numFmtId="165" fontId="31" fillId="0" borderId="0" xfId="0" applyNumberFormat="1" applyFont="1"/>
    <xf numFmtId="0" fontId="16" fillId="0" borderId="49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center" vertical="center" wrapText="1"/>
    </xf>
    <xf numFmtId="165" fontId="16" fillId="0" borderId="0" xfId="0" applyNumberFormat="1" applyFont="1" applyFill="1" applyBorder="1" applyAlignment="1">
      <alignment vertical="center"/>
    </xf>
    <xf numFmtId="9" fontId="16" fillId="0" borderId="0" xfId="7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 wrapText="1"/>
    </xf>
    <xf numFmtId="0" fontId="31" fillId="0" borderId="83" xfId="0" applyFont="1" applyFill="1" applyBorder="1" applyAlignment="1">
      <alignment horizontal="center" vertical="top"/>
    </xf>
    <xf numFmtId="165" fontId="31" fillId="0" borderId="81" xfId="6" applyNumberFormat="1" applyFont="1" applyFill="1" applyBorder="1" applyAlignment="1">
      <alignment horizontal="center" vertical="center"/>
    </xf>
    <xf numFmtId="165" fontId="31" fillId="0" borderId="84" xfId="6" applyNumberFormat="1" applyFont="1" applyFill="1" applyBorder="1" applyAlignment="1">
      <alignment horizontal="center" vertical="center"/>
    </xf>
    <xf numFmtId="0" fontId="16" fillId="0" borderId="43" xfId="0" applyFont="1" applyFill="1" applyBorder="1" applyAlignment="1">
      <alignment vertical="center" textRotation="90" wrapText="1"/>
    </xf>
    <xf numFmtId="0" fontId="31" fillId="0" borderId="42" xfId="0" applyFont="1" applyFill="1" applyBorder="1" applyAlignment="1">
      <alignment vertical="center" wrapText="1"/>
    </xf>
    <xf numFmtId="0" fontId="31" fillId="0" borderId="85" xfId="0" applyFont="1" applyFill="1" applyBorder="1" applyAlignment="1">
      <alignment horizontal="right" vertical="center" wrapText="1"/>
    </xf>
    <xf numFmtId="165" fontId="31" fillId="0" borderId="86" xfId="6" applyNumberFormat="1" applyFont="1" applyFill="1" applyBorder="1" applyAlignment="1">
      <alignment horizontal="center" vertical="center"/>
    </xf>
    <xf numFmtId="165" fontId="31" fillId="0" borderId="61" xfId="6" applyNumberFormat="1" applyFont="1" applyFill="1" applyBorder="1" applyAlignment="1">
      <alignment vertical="center"/>
    </xf>
    <xf numFmtId="165" fontId="31" fillId="0" borderId="49" xfId="6" applyNumberFormat="1" applyFont="1" applyFill="1" applyBorder="1" applyAlignment="1">
      <alignment vertical="center"/>
    </xf>
    <xf numFmtId="165" fontId="31" fillId="0" borderId="64" xfId="6" applyNumberFormat="1" applyFont="1" applyFill="1" applyBorder="1" applyAlignment="1">
      <alignment vertical="center"/>
    </xf>
    <xf numFmtId="164" fontId="31" fillId="0" borderId="87" xfId="8" applyNumberFormat="1" applyFont="1" applyFill="1" applyBorder="1" applyAlignment="1">
      <alignment horizontal="right"/>
    </xf>
    <xf numFmtId="165" fontId="16" fillId="0" borderId="88" xfId="0" applyNumberFormat="1" applyFont="1" applyFill="1" applyBorder="1" applyAlignment="1">
      <alignment vertical="center"/>
    </xf>
    <xf numFmtId="0" fontId="31" fillId="0" borderId="85" xfId="0" applyFont="1" applyFill="1" applyBorder="1" applyAlignment="1">
      <alignment vertical="center" wrapText="1"/>
    </xf>
    <xf numFmtId="165" fontId="31" fillId="0" borderId="0" xfId="9" applyNumberFormat="1" applyFont="1" applyFill="1" applyBorder="1" applyAlignment="1">
      <alignment horizontal="center" vertical="center"/>
    </xf>
    <xf numFmtId="165" fontId="16" fillId="0" borderId="0" xfId="9" applyNumberFormat="1" applyFont="1" applyFill="1" applyBorder="1" applyAlignment="1">
      <alignment horizontal="center" vertical="center"/>
    </xf>
    <xf numFmtId="165" fontId="16" fillId="0" borderId="1" xfId="9" applyNumberFormat="1" applyFont="1" applyFill="1" applyBorder="1" applyAlignment="1">
      <alignment horizontal="center" vertical="center" wrapText="1"/>
    </xf>
    <xf numFmtId="165" fontId="16" fillId="0" borderId="1" xfId="9" applyNumberFormat="1" applyFont="1" applyFill="1" applyBorder="1" applyAlignment="1">
      <alignment horizontal="center" vertical="center"/>
    </xf>
    <xf numFmtId="165" fontId="31" fillId="0" borderId="1" xfId="9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right" vertical="top" wrapText="1"/>
    </xf>
    <xf numFmtId="0" fontId="31" fillId="0" borderId="1" xfId="0" applyFont="1" applyFill="1" applyBorder="1" applyAlignment="1">
      <alignment horizontal="center" vertical="center" wrapText="1"/>
    </xf>
    <xf numFmtId="165" fontId="31" fillId="0" borderId="1" xfId="9" applyNumberFormat="1" applyFont="1" applyFill="1" applyBorder="1" applyAlignment="1">
      <alignment horizontal="center" vertical="center" readingOrder="2"/>
    </xf>
    <xf numFmtId="165" fontId="16" fillId="0" borderId="1" xfId="9" quotePrefix="1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right" vertical="center" wrapText="1"/>
    </xf>
    <xf numFmtId="0" fontId="31" fillId="0" borderId="1" xfId="0" applyFont="1" applyFill="1" applyBorder="1" applyAlignment="1">
      <alignment horizontal="center" vertical="center" wrapText="1" readingOrder="2"/>
    </xf>
    <xf numFmtId="0" fontId="31" fillId="0" borderId="0" xfId="0" applyFont="1" applyAlignment="1">
      <alignment horizontal="right"/>
    </xf>
    <xf numFmtId="0" fontId="16" fillId="0" borderId="29" xfId="0" applyFont="1" applyFill="1" applyBorder="1" applyAlignment="1">
      <alignment horizontal="right" vertical="top" wrapText="1"/>
    </xf>
    <xf numFmtId="165" fontId="31" fillId="0" borderId="29" xfId="9" applyNumberFormat="1" applyFont="1" applyFill="1" applyBorder="1" applyAlignment="1">
      <alignment horizontal="center" vertical="center" readingOrder="2"/>
    </xf>
    <xf numFmtId="165" fontId="31" fillId="0" borderId="29" xfId="9" applyNumberFormat="1" applyFont="1" applyFill="1" applyBorder="1" applyAlignment="1">
      <alignment horizontal="center" vertical="center"/>
    </xf>
    <xf numFmtId="0" fontId="31" fillId="0" borderId="29" xfId="0" applyFont="1" applyFill="1" applyBorder="1" applyAlignment="1">
      <alignment horizontal="center" vertical="center" readingOrder="2"/>
    </xf>
    <xf numFmtId="0" fontId="16" fillId="0" borderId="29" xfId="0" applyFont="1" applyFill="1" applyBorder="1" applyAlignment="1">
      <alignment vertical="top" wrapText="1"/>
    </xf>
    <xf numFmtId="0" fontId="16" fillId="0" borderId="29" xfId="0" applyFont="1" applyFill="1" applyBorder="1" applyAlignment="1">
      <alignment horizontal="center" vertical="top" wrapText="1"/>
    </xf>
    <xf numFmtId="0" fontId="31" fillId="0" borderId="0" xfId="0" applyFont="1" applyAlignment="1">
      <alignment horizontal="center" wrapText="1"/>
    </xf>
    <xf numFmtId="0" fontId="16" fillId="0" borderId="0" xfId="0" applyFont="1"/>
    <xf numFmtId="165" fontId="16" fillId="0" borderId="30" xfId="6" applyNumberFormat="1" applyFont="1" applyFill="1" applyBorder="1" applyAlignment="1">
      <alignment horizontal="center" vertical="center"/>
    </xf>
    <xf numFmtId="43" fontId="31" fillId="0" borderId="0" xfId="0" applyNumberFormat="1" applyFont="1"/>
    <xf numFmtId="165" fontId="31" fillId="0" borderId="0" xfId="6" applyNumberFormat="1" applyFont="1" applyFill="1" applyBorder="1" applyAlignment="1">
      <alignment horizontal="center" vertical="center"/>
    </xf>
    <xf numFmtId="3" fontId="31" fillId="0" borderId="0" xfId="0" applyNumberFormat="1" applyFont="1" applyAlignment="1">
      <alignment horizontal="center"/>
    </xf>
    <xf numFmtId="0" fontId="31" fillId="0" borderId="0" xfId="0" applyFont="1" applyFill="1" applyBorder="1" applyAlignment="1">
      <alignment horizontal="right" vertical="top" wrapText="1"/>
    </xf>
    <xf numFmtId="165" fontId="31" fillId="0" borderId="1" xfId="6" applyNumberFormat="1" applyFont="1" applyFill="1" applyBorder="1" applyAlignment="1">
      <alignment horizontal="center" vertical="center"/>
    </xf>
    <xf numFmtId="165" fontId="31" fillId="0" borderId="1" xfId="6" applyNumberFormat="1" applyFont="1" applyFill="1" applyBorder="1" applyAlignment="1">
      <alignment horizontal="right" vertical="center"/>
    </xf>
    <xf numFmtId="165" fontId="31" fillId="0" borderId="9" xfId="6" applyNumberFormat="1" applyFont="1" applyFill="1" applyBorder="1" applyAlignment="1">
      <alignment horizontal="right" vertical="center"/>
    </xf>
    <xf numFmtId="165" fontId="31" fillId="0" borderId="9" xfId="6" applyNumberFormat="1" applyFont="1" applyFill="1" applyBorder="1" applyAlignment="1">
      <alignment horizontal="center" vertical="center"/>
    </xf>
    <xf numFmtId="165" fontId="31" fillId="0" borderId="30" xfId="6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right" readingOrder="2"/>
    </xf>
    <xf numFmtId="0" fontId="31" fillId="0" borderId="0" xfId="0" applyFont="1" applyAlignment="1"/>
    <xf numFmtId="165" fontId="31" fillId="0" borderId="0" xfId="6" applyNumberFormat="1" applyFont="1" applyFill="1" applyBorder="1" applyAlignment="1">
      <alignment vertical="center" readingOrder="2"/>
    </xf>
    <xf numFmtId="14" fontId="31" fillId="0" borderId="1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/>
    <xf numFmtId="0" fontId="2" fillId="0" borderId="26" xfId="0" applyFont="1" applyBorder="1" applyAlignment="1"/>
    <xf numFmtId="0" fontId="2" fillId="0" borderId="12" xfId="0" applyFont="1" applyBorder="1" applyAlignment="1"/>
    <xf numFmtId="0" fontId="2" fillId="0" borderId="6" xfId="0" applyFont="1" applyBorder="1" applyAlignment="1"/>
    <xf numFmtId="0" fontId="2" fillId="0" borderId="0" xfId="0" applyFont="1" applyBorder="1" applyAlignment="1"/>
    <xf numFmtId="0" fontId="2" fillId="0" borderId="7" xfId="0" applyFont="1" applyBorder="1" applyAlignment="1"/>
    <xf numFmtId="0" fontId="10" fillId="0" borderId="6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2" fillId="0" borderId="27" xfId="0" applyFont="1" applyBorder="1" applyAlignment="1"/>
    <xf numFmtId="0" fontId="2" fillId="0" borderId="15" xfId="0" applyFont="1" applyBorder="1" applyAlignment="1"/>
    <xf numFmtId="0" fontId="2" fillId="0" borderId="28" xfId="0" applyFont="1" applyBorder="1" applyAlignment="1"/>
    <xf numFmtId="0" fontId="6" fillId="2" borderId="0" xfId="1" applyFont="1" applyFill="1" applyBorder="1" applyAlignment="1">
      <alignment horizontal="center"/>
    </xf>
    <xf numFmtId="0" fontId="1" fillId="0" borderId="0" xfId="1" applyFont="1" applyBorder="1" applyAlignment="1">
      <alignment horizontal="center" vertical="center" wrapText="1" readingOrder="2"/>
    </xf>
    <xf numFmtId="0" fontId="3" fillId="0" borderId="13" xfId="1" applyFont="1" applyBorder="1" applyAlignment="1">
      <alignment horizontal="right" readingOrder="2"/>
    </xf>
    <xf numFmtId="0" fontId="3" fillId="0" borderId="16" xfId="1" applyFont="1" applyBorder="1" applyAlignment="1">
      <alignment horizontal="right" readingOrder="2"/>
    </xf>
    <xf numFmtId="0" fontId="3" fillId="0" borderId="17" xfId="1" applyFont="1" applyBorder="1" applyAlignment="1">
      <alignment horizontal="right" readingOrder="2"/>
    </xf>
    <xf numFmtId="0" fontId="1" fillId="0" borderId="21" xfId="1" applyFont="1" applyBorder="1" applyAlignment="1">
      <alignment horizontal="center" vertical="center" wrapText="1" readingOrder="2"/>
    </xf>
    <xf numFmtId="0" fontId="1" fillId="2" borderId="0" xfId="1" applyFont="1" applyFill="1" applyBorder="1" applyAlignment="1">
      <alignment horizontal="center" vertical="center" wrapText="1" readingOrder="2"/>
    </xf>
    <xf numFmtId="0" fontId="4" fillId="0" borderId="1" xfId="1" applyFont="1" applyFill="1" applyBorder="1" applyAlignment="1">
      <alignment horizontal="right" wrapText="1" readingOrder="2"/>
    </xf>
    <xf numFmtId="0" fontId="1" fillId="0" borderId="0" xfId="1" applyFont="1" applyFill="1" applyBorder="1" applyAlignment="1">
      <alignment horizontal="center" vertical="center" wrapText="1" readingOrder="2"/>
    </xf>
    <xf numFmtId="0" fontId="1" fillId="0" borderId="21" xfId="1" applyFont="1" applyFill="1" applyBorder="1" applyAlignment="1">
      <alignment horizontal="center" vertical="top" wrapText="1" readingOrder="2"/>
    </xf>
    <xf numFmtId="0" fontId="3" fillId="0" borderId="14" xfId="1" applyFont="1" applyFill="1" applyBorder="1" applyAlignment="1">
      <alignment horizontal="right" vertical="center" readingOrder="2"/>
    </xf>
    <xf numFmtId="0" fontId="3" fillId="0" borderId="18" xfId="1" applyFont="1" applyFill="1" applyBorder="1" applyAlignment="1">
      <alignment horizontal="right" vertical="center" readingOrder="2"/>
    </xf>
    <xf numFmtId="0" fontId="3" fillId="0" borderId="19" xfId="1" applyFont="1" applyFill="1" applyBorder="1" applyAlignment="1">
      <alignment horizontal="right" vertical="center" readingOrder="2"/>
    </xf>
    <xf numFmtId="0" fontId="3" fillId="0" borderId="20" xfId="1" applyFont="1" applyFill="1" applyBorder="1" applyAlignment="1">
      <alignment horizontal="right" vertical="center" readingOrder="2"/>
    </xf>
    <xf numFmtId="0" fontId="3" fillId="0" borderId="21" xfId="1" applyFont="1" applyFill="1" applyBorder="1" applyAlignment="1">
      <alignment horizontal="right" vertical="center" readingOrder="2"/>
    </xf>
    <xf numFmtId="0" fontId="3" fillId="0" borderId="22" xfId="1" applyFont="1" applyFill="1" applyBorder="1" applyAlignment="1">
      <alignment horizontal="right" vertical="center" readingOrder="2"/>
    </xf>
    <xf numFmtId="0" fontId="3" fillId="0" borderId="14" xfId="1" applyFont="1" applyFill="1" applyBorder="1" applyAlignment="1">
      <alignment horizontal="right" vertical="center" wrapText="1" readingOrder="2"/>
    </xf>
    <xf numFmtId="0" fontId="3" fillId="0" borderId="18" xfId="1" applyFont="1" applyFill="1" applyBorder="1" applyAlignment="1">
      <alignment horizontal="right" vertical="center" wrapText="1" readingOrder="2"/>
    </xf>
    <xf numFmtId="0" fontId="3" fillId="0" borderId="19" xfId="1" applyFont="1" applyFill="1" applyBorder="1" applyAlignment="1">
      <alignment horizontal="right" vertical="center" wrapText="1" readingOrder="2"/>
    </xf>
    <xf numFmtId="0" fontId="3" fillId="0" borderId="20" xfId="1" applyFont="1" applyFill="1" applyBorder="1" applyAlignment="1">
      <alignment horizontal="right" vertical="center" wrapText="1" readingOrder="2"/>
    </xf>
    <xf numFmtId="0" fontId="3" fillId="0" borderId="21" xfId="1" applyFont="1" applyFill="1" applyBorder="1" applyAlignment="1">
      <alignment horizontal="right" vertical="center" wrapText="1" readingOrder="2"/>
    </xf>
    <xf numFmtId="0" fontId="3" fillId="0" borderId="22" xfId="1" applyFont="1" applyFill="1" applyBorder="1" applyAlignment="1">
      <alignment horizontal="right" vertical="center" wrapText="1" readingOrder="2"/>
    </xf>
    <xf numFmtId="0" fontId="3" fillId="0" borderId="13" xfId="1" applyFont="1" applyFill="1" applyBorder="1" applyAlignment="1">
      <alignment horizontal="right" wrapText="1" readingOrder="2"/>
    </xf>
    <xf numFmtId="0" fontId="3" fillId="0" borderId="17" xfId="1" applyFont="1" applyFill="1" applyBorder="1" applyAlignment="1">
      <alignment horizontal="right" wrapText="1" readingOrder="2"/>
    </xf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right"/>
    </xf>
    <xf numFmtId="0" fontId="6" fillId="0" borderId="5" xfId="0" applyFont="1" applyFill="1" applyBorder="1" applyAlignment="1">
      <alignment horizontal="right"/>
    </xf>
    <xf numFmtId="3" fontId="7" fillId="0" borderId="1" xfId="0" applyNumberFormat="1" applyFont="1" applyFill="1" applyBorder="1" applyAlignment="1">
      <alignment horizontal="center" vertical="center"/>
    </xf>
    <xf numFmtId="3" fontId="7" fillId="0" borderId="29" xfId="0" applyNumberFormat="1" applyFont="1" applyFill="1" applyBorder="1" applyAlignment="1">
      <alignment horizontal="center" vertical="center"/>
    </xf>
    <xf numFmtId="3" fontId="7" fillId="0" borderId="30" xfId="0" applyNumberFormat="1" applyFont="1" applyFill="1" applyBorder="1" applyAlignment="1">
      <alignment horizontal="center" vertical="center"/>
    </xf>
    <xf numFmtId="3" fontId="7" fillId="0" borderId="31" xfId="0" applyNumberFormat="1" applyFont="1" applyFill="1" applyBorder="1" applyAlignment="1">
      <alignment horizontal="center" vertical="center"/>
    </xf>
    <xf numFmtId="3" fontId="7" fillId="0" borderId="32" xfId="0" applyNumberFormat="1" applyFont="1" applyFill="1" applyBorder="1" applyAlignment="1">
      <alignment horizontal="center" vertical="center"/>
    </xf>
    <xf numFmtId="3" fontId="7" fillId="8" borderId="29" xfId="0" applyNumberFormat="1" applyFont="1" applyFill="1" applyBorder="1" applyAlignment="1">
      <alignment horizontal="center" vertical="center"/>
    </xf>
    <xf numFmtId="3" fontId="7" fillId="8" borderId="30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right"/>
    </xf>
    <xf numFmtId="164" fontId="7" fillId="0" borderId="29" xfId="0" applyNumberFormat="1" applyFont="1" applyFill="1" applyBorder="1" applyAlignment="1">
      <alignment horizontal="center" vertical="center"/>
    </xf>
    <xf numFmtId="164" fontId="7" fillId="0" borderId="30" xfId="0" applyNumberFormat="1" applyFont="1" applyFill="1" applyBorder="1" applyAlignment="1">
      <alignment horizontal="center" vertical="center"/>
    </xf>
    <xf numFmtId="165" fontId="3" fillId="0" borderId="13" xfId="6" applyNumberFormat="1" applyFont="1" applyFill="1" applyBorder="1" applyAlignment="1">
      <alignment horizontal="right"/>
    </xf>
    <xf numFmtId="165" fontId="3" fillId="0" borderId="16" xfId="6" applyNumberFormat="1" applyFont="1" applyFill="1" applyBorder="1" applyAlignment="1">
      <alignment horizontal="right"/>
    </xf>
    <xf numFmtId="165" fontId="3" fillId="0" borderId="17" xfId="6" applyNumberFormat="1" applyFont="1" applyFill="1" applyBorder="1" applyAlignment="1">
      <alignment horizontal="right"/>
    </xf>
    <xf numFmtId="0" fontId="3" fillId="0" borderId="13" xfId="0" applyFont="1" applyFill="1" applyBorder="1" applyAlignment="1">
      <alignment horizontal="right"/>
    </xf>
    <xf numFmtId="0" fontId="3" fillId="0" borderId="16" xfId="0" applyFont="1" applyFill="1" applyBorder="1" applyAlignment="1">
      <alignment horizontal="right"/>
    </xf>
    <xf numFmtId="0" fontId="3" fillId="0" borderId="17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center" vertical="top"/>
    </xf>
    <xf numFmtId="0" fontId="1" fillId="0" borderId="21" xfId="0" applyFont="1" applyFill="1" applyBorder="1" applyAlignment="1">
      <alignment horizontal="center" vertical="top"/>
    </xf>
    <xf numFmtId="0" fontId="3" fillId="0" borderId="13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right" vertical="center"/>
    </xf>
    <xf numFmtId="0" fontId="3" fillId="0" borderId="16" xfId="0" applyFont="1" applyFill="1" applyBorder="1" applyAlignment="1">
      <alignment horizontal="right" vertical="center"/>
    </xf>
    <xf numFmtId="0" fontId="3" fillId="0" borderId="17" xfId="0" applyFont="1" applyFill="1" applyBorder="1" applyAlignment="1">
      <alignment horizontal="right" vertical="center"/>
    </xf>
    <xf numFmtId="0" fontId="1" fillId="0" borderId="0" xfId="0" applyFont="1" applyFill="1" applyAlignment="1">
      <alignment horizontal="center"/>
    </xf>
    <xf numFmtId="164" fontId="3" fillId="10" borderId="13" xfId="0" applyNumberFormat="1" applyFont="1" applyFill="1" applyBorder="1" applyAlignment="1">
      <alignment horizontal="right" vertical="center"/>
    </xf>
    <xf numFmtId="164" fontId="3" fillId="10" borderId="17" xfId="0" applyNumberFormat="1" applyFont="1" applyFill="1" applyBorder="1" applyAlignment="1">
      <alignment horizontal="right" vertical="center"/>
    </xf>
    <xf numFmtId="164" fontId="3" fillId="10" borderId="13" xfId="0" applyNumberFormat="1" applyFont="1" applyFill="1" applyBorder="1" applyAlignment="1">
      <alignment horizontal="right" vertical="center" wrapText="1" readingOrder="2"/>
    </xf>
    <xf numFmtId="164" fontId="3" fillId="10" borderId="17" xfId="0" applyNumberFormat="1" applyFont="1" applyFill="1" applyBorder="1" applyAlignment="1">
      <alignment horizontal="right" vertical="center" wrapText="1" readingOrder="2"/>
    </xf>
    <xf numFmtId="164" fontId="3" fillId="0" borderId="13" xfId="0" applyNumberFormat="1" applyFont="1" applyFill="1" applyBorder="1" applyAlignment="1">
      <alignment horizontal="right" vertical="center"/>
    </xf>
    <xf numFmtId="164" fontId="3" fillId="0" borderId="16" xfId="0" applyNumberFormat="1" applyFont="1" applyFill="1" applyBorder="1" applyAlignment="1">
      <alignment horizontal="right" vertical="center"/>
    </xf>
    <xf numFmtId="164" fontId="3" fillId="0" borderId="17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13" xfId="1" applyFont="1" applyFill="1" applyBorder="1" applyAlignment="1">
      <alignment horizontal="right"/>
    </xf>
    <xf numFmtId="0" fontId="3" fillId="0" borderId="17" xfId="1" applyFont="1" applyFill="1" applyBorder="1" applyAlignment="1">
      <alignment horizontal="right"/>
    </xf>
    <xf numFmtId="0" fontId="30" fillId="0" borderId="0" xfId="0" applyFont="1" applyAlignment="1">
      <alignment horizontal="center"/>
    </xf>
    <xf numFmtId="0" fontId="16" fillId="0" borderId="38" xfId="0" applyFont="1" applyFill="1" applyBorder="1" applyAlignment="1">
      <alignment horizontal="right" vertical="top" wrapText="1"/>
    </xf>
    <xf numFmtId="0" fontId="16" fillId="0" borderId="42" xfId="0" applyFont="1" applyFill="1" applyBorder="1" applyAlignment="1">
      <alignment horizontal="right" vertical="top" wrapText="1"/>
    </xf>
    <xf numFmtId="0" fontId="16" fillId="0" borderId="48" xfId="0" applyFont="1" applyFill="1" applyBorder="1" applyAlignment="1">
      <alignment horizontal="right" vertical="top" wrapText="1"/>
    </xf>
    <xf numFmtId="0" fontId="16" fillId="0" borderId="38" xfId="0" applyFont="1" applyFill="1" applyBorder="1" applyAlignment="1">
      <alignment horizontal="center" vertical="center" wrapText="1"/>
    </xf>
    <xf numFmtId="0" fontId="16" fillId="0" borderId="42" xfId="0" applyFont="1" applyFill="1" applyBorder="1" applyAlignment="1">
      <alignment horizontal="center" vertical="center" wrapText="1"/>
    </xf>
    <xf numFmtId="0" fontId="16" fillId="0" borderId="48" xfId="0" applyFont="1" applyFill="1" applyBorder="1" applyAlignment="1">
      <alignment horizontal="center" vertical="center" wrapText="1"/>
    </xf>
    <xf numFmtId="0" fontId="16" fillId="0" borderId="39" xfId="0" applyFont="1" applyFill="1" applyBorder="1" applyAlignment="1">
      <alignment horizontal="center" vertical="top" wrapText="1"/>
    </xf>
    <xf numFmtId="0" fontId="16" fillId="0" borderId="40" xfId="0" applyFont="1" applyFill="1" applyBorder="1" applyAlignment="1">
      <alignment horizontal="center" vertical="top" wrapText="1"/>
    </xf>
    <xf numFmtId="0" fontId="16" fillId="0" borderId="41" xfId="0" applyFont="1" applyFill="1" applyBorder="1" applyAlignment="1">
      <alignment horizontal="center" vertical="top" wrapText="1"/>
    </xf>
    <xf numFmtId="0" fontId="31" fillId="0" borderId="43" xfId="0" applyFont="1" applyFill="1" applyBorder="1" applyAlignment="1">
      <alignment horizontal="center" vertical="top" wrapText="1"/>
    </xf>
    <xf numFmtId="0" fontId="31" fillId="0" borderId="48" xfId="0" applyFont="1" applyFill="1" applyBorder="1" applyAlignment="1">
      <alignment horizontal="center" vertical="top" wrapText="1"/>
    </xf>
    <xf numFmtId="0" fontId="31" fillId="0" borderId="44" xfId="0" applyFont="1" applyFill="1" applyBorder="1" applyAlignment="1">
      <alignment horizontal="center" vertical="top" wrapText="1"/>
    </xf>
    <xf numFmtId="0" fontId="31" fillId="0" borderId="45" xfId="0" applyFont="1" applyFill="1" applyBorder="1" applyAlignment="1">
      <alignment horizontal="center" vertical="top" wrapText="1"/>
    </xf>
    <xf numFmtId="17" fontId="31" fillId="0" borderId="46" xfId="0" applyNumberFormat="1" applyFont="1" applyFill="1" applyBorder="1" applyAlignment="1">
      <alignment horizontal="center" vertical="top" wrapText="1"/>
    </xf>
    <xf numFmtId="17" fontId="31" fillId="0" borderId="45" xfId="0" applyNumberFormat="1" applyFont="1" applyFill="1" applyBorder="1" applyAlignment="1">
      <alignment horizontal="center" vertical="top" wrapText="1"/>
    </xf>
    <xf numFmtId="17" fontId="31" fillId="0" borderId="47" xfId="0" applyNumberFormat="1" applyFont="1" applyFill="1" applyBorder="1" applyAlignment="1">
      <alignment horizontal="center" vertical="top" wrapText="1"/>
    </xf>
    <xf numFmtId="0" fontId="16" fillId="0" borderId="43" xfId="0" applyFont="1" applyFill="1" applyBorder="1" applyAlignment="1">
      <alignment horizontal="center" vertical="center" textRotation="90" wrapText="1"/>
    </xf>
    <xf numFmtId="0" fontId="16" fillId="0" borderId="42" xfId="0" applyFont="1" applyFill="1" applyBorder="1" applyAlignment="1">
      <alignment horizontal="center" vertical="center" textRotation="90" wrapText="1"/>
    </xf>
    <xf numFmtId="0" fontId="16" fillId="0" borderId="48" xfId="0" applyFont="1" applyFill="1" applyBorder="1" applyAlignment="1">
      <alignment horizontal="center" vertical="center" textRotation="90" wrapText="1"/>
    </xf>
    <xf numFmtId="0" fontId="17" fillId="0" borderId="0" xfId="0" applyFont="1" applyFill="1" applyBorder="1" applyAlignment="1">
      <alignment horizontal="center" vertical="center" wrapText="1"/>
    </xf>
    <xf numFmtId="0" fontId="31" fillId="0" borderId="80" xfId="0" applyFont="1" applyFill="1" applyBorder="1" applyAlignment="1">
      <alignment horizontal="center" vertical="top" wrapText="1"/>
    </xf>
    <xf numFmtId="0" fontId="31" fillId="0" borderId="82" xfId="0" applyFont="1" applyFill="1" applyBorder="1" applyAlignment="1">
      <alignment horizontal="center" vertical="top" wrapText="1"/>
    </xf>
    <xf numFmtId="0" fontId="31" fillId="0" borderId="46" xfId="0" applyFont="1" applyFill="1" applyBorder="1" applyAlignment="1">
      <alignment horizontal="center" vertical="top" wrapText="1"/>
    </xf>
    <xf numFmtId="17" fontId="31" fillId="0" borderId="81" xfId="0" applyNumberFormat="1" applyFont="1" applyFill="1" applyBorder="1" applyAlignment="1">
      <alignment horizontal="center" vertical="top" wrapText="1"/>
    </xf>
    <xf numFmtId="0" fontId="31" fillId="0" borderId="0" xfId="0" applyFont="1" applyAlignment="1">
      <alignment horizontal="right" readingOrder="2"/>
    </xf>
    <xf numFmtId="0" fontId="13" fillId="0" borderId="1" xfId="2" applyFont="1" applyFill="1" applyBorder="1" applyAlignment="1">
      <alignment horizontal="center" vertical="top"/>
    </xf>
    <xf numFmtId="0" fontId="6" fillId="3" borderId="1" xfId="2" applyFont="1" applyFill="1" applyBorder="1" applyAlignment="1">
      <alignment horizontal="right" vertical="top"/>
    </xf>
    <xf numFmtId="49" fontId="16" fillId="0" borderId="1" xfId="2" applyNumberFormat="1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horizontal="center" vertical="top"/>
    </xf>
    <xf numFmtId="0" fontId="16" fillId="0" borderId="13" xfId="0" applyFont="1" applyFill="1" applyBorder="1" applyAlignment="1">
      <alignment horizontal="center" vertical="top"/>
    </xf>
    <xf numFmtId="0" fontId="16" fillId="0" borderId="16" xfId="0" applyFont="1" applyFill="1" applyBorder="1" applyAlignment="1">
      <alignment horizontal="center" vertical="top"/>
    </xf>
    <xf numFmtId="0" fontId="16" fillId="0" borderId="17" xfId="0" applyFont="1" applyFill="1" applyBorder="1" applyAlignment="1">
      <alignment horizontal="center" vertical="top"/>
    </xf>
    <xf numFmtId="0" fontId="17" fillId="0" borderId="23" xfId="0" applyFont="1" applyFill="1" applyBorder="1" applyAlignment="1">
      <alignment horizontal="center" vertical="top"/>
    </xf>
    <xf numFmtId="0" fontId="3" fillId="0" borderId="23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49" fontId="24" fillId="8" borderId="13" xfId="4" applyNumberFormat="1" applyFont="1" applyFill="1" applyBorder="1" applyAlignment="1">
      <alignment horizontal="center" vertical="top" wrapText="1"/>
    </xf>
    <xf numFmtId="49" fontId="24" fillId="8" borderId="16" xfId="4" applyNumberFormat="1" applyFont="1" applyFill="1" applyBorder="1" applyAlignment="1">
      <alignment horizontal="center" vertical="top" wrapText="1"/>
    </xf>
  </cellXfs>
  <cellStyles count="10">
    <cellStyle name="Comma" xfId="6" builtinId="3"/>
    <cellStyle name="Comma 2 2" xfId="3"/>
    <cellStyle name="Comma 3" xfId="9"/>
    <cellStyle name="Comma_השוואת כסוי גירעון" xfId="8"/>
    <cellStyle name="Normal" xfId="0" builtinId="0"/>
    <cellStyle name="Normal 2" xfId="5"/>
    <cellStyle name="Normal 3_תקציב תוכנית הבראה 2014" xfId="4"/>
    <cellStyle name="Normal 6" xfId="2"/>
    <cellStyle name="Normal_טבלאות הבראה2" xfId="1"/>
    <cellStyle name="Percent" xfId="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29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</xdr:row>
      <xdr:rowOff>0</xdr:rowOff>
    </xdr:from>
    <xdr:to>
      <xdr:col>14</xdr:col>
      <xdr:colOff>0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25968125" y="533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eb2\AppData\Local\Microsoft\Windows\Temporary%20Internet%20Files\Content.IE5\YBHAK5AJ\&#1514;&#1499;&#1504;&#1497;&#1514;%20&#1492;&#1489;&#1512;&#1488;&#1492;%20&#1505;&#1493;&#1508;&#1497;&#1514;%202016-2018%20&#1506;&#1493;&#1505;&#1508;&#1497;&#1497;&#149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bedb\AppData\Local\Temp\%25D7%25A2%25D7%25A1%25D7%25A4%25D7%2599%25D7%2594%2520%25D7%25AA%25D7%259B%25D7%25A0%25D7%2599%25D7%25AA%2520%25D7%2594%25D7%2591%25D7%25A8%25D7%2590%25D7%2594%25202016-2018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1\AppData\Local\Microsoft\Windows\INetCache\IE\7LOMPZQT\&#1514;&#1499;&#1504;&#1497;&#1514;%20&#1492;&#1489;&#1512;&#1488;&#1492;%20-%20&#1506;&#1505;&#1508;&#1497;&#1488;%202017-2018%20(00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פתיח"/>
      <sheetName val="טבלה 1 - התקציב הרגיל"/>
      <sheetName val="נספח 1 - גרעון מצטבר"/>
      <sheetName val="נספח 2 - הרכב הכנסות עצמיות"/>
      <sheetName val="נספח 3 - ריכוז תשלומים ותקבולים"/>
      <sheetName val="נספח 4- חסכון בשכר"/>
      <sheetName val="נספח 4 ב' - פרישה"/>
      <sheetName val="נספח 4 א' - פיטורים"/>
      <sheetName val="נספח 5-פעולות"/>
      <sheetName val="נספח 6 - פרעמ"/>
      <sheetName val="נספח 7 - תמיכות"/>
      <sheetName val="נספח 8-הכנסות"/>
      <sheetName val="נספח 9 - ביוב"/>
      <sheetName val="נספח 10 - גופי סמך"/>
      <sheetName val="מוניצ"/>
      <sheetName val="חינוך"/>
      <sheetName val="רווחה"/>
    </sheetNames>
    <sheetDataSet>
      <sheetData sheetId="0"/>
      <sheetData sheetId="1"/>
      <sheetData sheetId="2">
        <row r="2">
          <cell r="A2" t="str">
            <v>מועצה מקומית עוספייה</v>
          </cell>
          <cell r="B2">
            <v>0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</row>
      </sheetData>
      <sheetData sheetId="3"/>
      <sheetData sheetId="4"/>
      <sheetData sheetId="5">
        <row r="2">
          <cell r="A2" t="str">
            <v>מועצה מקומית עוספייה</v>
          </cell>
          <cell r="B2">
            <v>0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</row>
      </sheetData>
      <sheetData sheetId="6"/>
      <sheetData sheetId="7">
        <row r="2">
          <cell r="A2" t="str">
            <v>מועצה מקומית עוספייה</v>
          </cell>
          <cell r="B2">
            <v>0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פתיח"/>
      <sheetName val="טבלה 1 - התקציב הרגיל"/>
      <sheetName val="נספח 1 - גרעון מצטבר"/>
      <sheetName val="נספח 2 - הרכב הכנסות עצמיות"/>
      <sheetName val="נספח 3 - ריכוז תשלומים ותקבולים"/>
      <sheetName val="נספח 4- חסכון בשכר"/>
      <sheetName val="נספח 4 א' - פיטורים"/>
      <sheetName val="נספח 4 ב' - פרישה"/>
      <sheetName val="נספח 5-פעולות"/>
      <sheetName val="נספח 6 - פרעמ"/>
      <sheetName val="נספח 7 - תמיכות"/>
      <sheetName val="נספח 8-הכנסות"/>
      <sheetName val="נספח 9 - ביוב"/>
      <sheetName val="נספח 10 - גופי סמך"/>
      <sheetName val="מוניצ"/>
      <sheetName val="חינוך"/>
      <sheetName val="רווח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">
          <cell r="A2" t="str">
            <v>מועצה מקומית עוספייה</v>
          </cell>
          <cell r="B2">
            <v>0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נספח 1 אבני דרך"/>
      <sheetName val="נספח 2 חישוב הגרעון"/>
      <sheetName val="תקציב 2016-2018"/>
    </sheetNames>
    <sheetDataSet>
      <sheetData sheetId="0"/>
      <sheetData sheetId="1">
        <row r="34">
          <cell r="B34">
            <v>29980.1875</v>
          </cell>
          <cell r="C34">
            <v>29980.1875</v>
          </cell>
        </row>
        <row r="35">
          <cell r="B35">
            <v>2000</v>
          </cell>
          <cell r="C35">
            <v>2000</v>
          </cell>
        </row>
        <row r="36">
          <cell r="B36">
            <v>3600</v>
          </cell>
          <cell r="C36">
            <v>3600</v>
          </cell>
        </row>
        <row r="37">
          <cell r="B37">
            <v>2180</v>
          </cell>
          <cell r="C37">
            <v>2180</v>
          </cell>
        </row>
        <row r="38">
          <cell r="B38">
            <v>22200</v>
          </cell>
        </row>
      </sheetData>
      <sheetData sheetId="2">
        <row r="6">
          <cell r="I6">
            <v>13800</v>
          </cell>
        </row>
        <row r="8">
          <cell r="I8">
            <v>248</v>
          </cell>
        </row>
        <row r="9">
          <cell r="I9">
            <v>0</v>
          </cell>
        </row>
        <row r="12">
          <cell r="I12">
            <v>15640</v>
          </cell>
        </row>
        <row r="13">
          <cell r="I13">
            <v>4990</v>
          </cell>
        </row>
        <row r="28">
          <cell r="I28">
            <v>9737</v>
          </cell>
        </row>
        <row r="29">
          <cell r="I29">
            <v>14011</v>
          </cell>
        </row>
        <row r="34">
          <cell r="I34">
            <v>21413</v>
          </cell>
        </row>
        <row r="37">
          <cell r="I37">
            <v>7701</v>
          </cell>
        </row>
      </sheetData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4:I47"/>
  <sheetViews>
    <sheetView showGridLines="0" rightToLeft="1" tabSelected="1" view="pageLayout" topLeftCell="A18" zoomScaleNormal="100" workbookViewId="0">
      <selection activeCell="A34" sqref="A34:I34"/>
    </sheetView>
  </sheetViews>
  <sheetFormatPr defaultRowHeight="12.75" x14ac:dyDescent="0.2"/>
  <cols>
    <col min="1" max="8" width="9.140625" style="3"/>
    <col min="9" max="9" width="19.85546875" style="3" customWidth="1"/>
    <col min="10" max="16384" width="9.140625" style="3"/>
  </cols>
  <sheetData>
    <row r="4" spans="1:9" ht="1.5" customHeight="1" x14ac:dyDescent="0.2"/>
    <row r="5" spans="1:9" hidden="1" x14ac:dyDescent="0.2"/>
    <row r="6" spans="1:9" hidden="1" x14ac:dyDescent="0.2"/>
    <row r="7" spans="1:9" hidden="1" x14ac:dyDescent="0.2"/>
    <row r="8" spans="1:9" hidden="1" x14ac:dyDescent="0.2"/>
    <row r="9" spans="1:9" ht="13.5" thickBot="1" x14ac:dyDescent="0.25"/>
    <row r="10" spans="1:9" x14ac:dyDescent="0.2">
      <c r="A10" s="507"/>
      <c r="B10" s="508"/>
      <c r="C10" s="508"/>
      <c r="D10" s="508"/>
      <c r="E10" s="508"/>
      <c r="F10" s="508"/>
      <c r="G10" s="508"/>
      <c r="H10" s="508"/>
      <c r="I10" s="509"/>
    </row>
    <row r="11" spans="1:9" x14ac:dyDescent="0.2">
      <c r="A11" s="510"/>
      <c r="B11" s="511"/>
      <c r="C11" s="511"/>
      <c r="D11" s="511"/>
      <c r="E11" s="511"/>
      <c r="F11" s="511"/>
      <c r="G11" s="511"/>
      <c r="H11" s="511"/>
      <c r="I11" s="512"/>
    </row>
    <row r="12" spans="1:9" x14ac:dyDescent="0.2">
      <c r="A12" s="510"/>
      <c r="B12" s="511"/>
      <c r="C12" s="511"/>
      <c r="D12" s="511"/>
      <c r="E12" s="511"/>
      <c r="F12" s="511"/>
      <c r="G12" s="511"/>
      <c r="H12" s="511"/>
      <c r="I12" s="512"/>
    </row>
    <row r="13" spans="1:9" ht="75.75" customHeight="1" x14ac:dyDescent="0.2">
      <c r="A13" s="522" t="s">
        <v>0</v>
      </c>
      <c r="B13" s="523"/>
      <c r="C13" s="523"/>
      <c r="D13" s="523"/>
      <c r="E13" s="523"/>
      <c r="F13" s="523"/>
      <c r="G13" s="523"/>
      <c r="H13" s="523"/>
      <c r="I13" s="524"/>
    </row>
    <row r="14" spans="1:9" x14ac:dyDescent="0.2">
      <c r="A14" s="522"/>
      <c r="B14" s="523"/>
      <c r="C14" s="523"/>
      <c r="D14" s="523"/>
      <c r="E14" s="523"/>
      <c r="F14" s="523"/>
      <c r="G14" s="523"/>
      <c r="H14" s="523"/>
      <c r="I14" s="524"/>
    </row>
    <row r="15" spans="1:9" x14ac:dyDescent="0.2">
      <c r="A15" s="522"/>
      <c r="B15" s="523"/>
      <c r="C15" s="523"/>
      <c r="D15" s="523"/>
      <c r="E15" s="523"/>
      <c r="F15" s="523"/>
      <c r="G15" s="523"/>
      <c r="H15" s="523"/>
      <c r="I15" s="524"/>
    </row>
    <row r="16" spans="1:9" x14ac:dyDescent="0.2">
      <c r="A16" s="522"/>
      <c r="B16" s="523"/>
      <c r="C16" s="523"/>
      <c r="D16" s="523"/>
      <c r="E16" s="523"/>
      <c r="F16" s="523"/>
      <c r="G16" s="523"/>
      <c r="H16" s="523"/>
      <c r="I16" s="524"/>
    </row>
    <row r="17" spans="1:9" x14ac:dyDescent="0.2">
      <c r="A17" s="522"/>
      <c r="B17" s="523"/>
      <c r="C17" s="523"/>
      <c r="D17" s="523"/>
      <c r="E17" s="523"/>
      <c r="F17" s="523"/>
      <c r="G17" s="523"/>
      <c r="H17" s="523"/>
      <c r="I17" s="524"/>
    </row>
    <row r="18" spans="1:9" x14ac:dyDescent="0.2">
      <c r="A18" s="510"/>
      <c r="B18" s="511"/>
      <c r="C18" s="511"/>
      <c r="D18" s="511"/>
      <c r="E18" s="511"/>
      <c r="F18" s="511"/>
      <c r="G18" s="511"/>
      <c r="H18" s="511"/>
      <c r="I18" s="512"/>
    </row>
    <row r="19" spans="1:9" x14ac:dyDescent="0.2">
      <c r="A19" s="510"/>
      <c r="B19" s="511"/>
      <c r="C19" s="511"/>
      <c r="D19" s="511"/>
      <c r="E19" s="511"/>
      <c r="F19" s="511"/>
      <c r="G19" s="511"/>
      <c r="H19" s="511"/>
      <c r="I19" s="512"/>
    </row>
    <row r="20" spans="1:9" x14ac:dyDescent="0.2">
      <c r="A20" s="510"/>
      <c r="B20" s="511"/>
      <c r="C20" s="511"/>
      <c r="D20" s="511"/>
      <c r="E20" s="511"/>
      <c r="F20" s="511"/>
      <c r="G20" s="511"/>
      <c r="H20" s="511"/>
      <c r="I20" s="512"/>
    </row>
    <row r="21" spans="1:9" x14ac:dyDescent="0.2">
      <c r="A21" s="510"/>
      <c r="B21" s="511"/>
      <c r="C21" s="511"/>
      <c r="D21" s="511"/>
      <c r="E21" s="511"/>
      <c r="F21" s="511"/>
      <c r="G21" s="511"/>
      <c r="H21" s="511"/>
      <c r="I21" s="512"/>
    </row>
    <row r="22" spans="1:9" x14ac:dyDescent="0.2">
      <c r="A22" s="510"/>
      <c r="B22" s="511"/>
      <c r="C22" s="511"/>
      <c r="D22" s="511"/>
      <c r="E22" s="511"/>
      <c r="F22" s="511"/>
      <c r="G22" s="511"/>
      <c r="H22" s="511"/>
      <c r="I22" s="512"/>
    </row>
    <row r="23" spans="1:9" x14ac:dyDescent="0.2">
      <c r="A23" s="510"/>
      <c r="B23" s="511"/>
      <c r="C23" s="511"/>
      <c r="D23" s="511"/>
      <c r="E23" s="511"/>
      <c r="F23" s="511"/>
      <c r="G23" s="511"/>
      <c r="H23" s="511"/>
      <c r="I23" s="512"/>
    </row>
    <row r="24" spans="1:9" x14ac:dyDescent="0.2">
      <c r="A24" s="510"/>
      <c r="B24" s="511"/>
      <c r="C24" s="511"/>
      <c r="D24" s="511"/>
      <c r="E24" s="511"/>
      <c r="F24" s="511"/>
      <c r="G24" s="511"/>
      <c r="H24" s="511"/>
      <c r="I24" s="512"/>
    </row>
    <row r="25" spans="1:9" x14ac:dyDescent="0.2">
      <c r="A25" s="510"/>
      <c r="B25" s="511"/>
      <c r="C25" s="511"/>
      <c r="D25" s="511"/>
      <c r="E25" s="511"/>
      <c r="F25" s="511"/>
      <c r="G25" s="511"/>
      <c r="H25" s="511"/>
      <c r="I25" s="512"/>
    </row>
    <row r="26" spans="1:9" x14ac:dyDescent="0.2">
      <c r="A26" s="510"/>
      <c r="B26" s="511"/>
      <c r="C26" s="511"/>
      <c r="D26" s="511"/>
      <c r="E26" s="511"/>
      <c r="F26" s="511"/>
      <c r="G26" s="511"/>
      <c r="H26" s="511"/>
      <c r="I26" s="512"/>
    </row>
    <row r="27" spans="1:9" x14ac:dyDescent="0.2">
      <c r="A27" s="510"/>
      <c r="B27" s="511"/>
      <c r="C27" s="511"/>
      <c r="D27" s="511"/>
      <c r="E27" s="511"/>
      <c r="F27" s="511"/>
      <c r="G27" s="511"/>
      <c r="H27" s="511"/>
      <c r="I27" s="512"/>
    </row>
    <row r="28" spans="1:9" x14ac:dyDescent="0.2">
      <c r="A28" s="510"/>
      <c r="B28" s="511"/>
      <c r="C28" s="511"/>
      <c r="D28" s="511"/>
      <c r="E28" s="511"/>
      <c r="F28" s="511"/>
      <c r="G28" s="511"/>
      <c r="H28" s="511"/>
      <c r="I28" s="512"/>
    </row>
    <row r="29" spans="1:9" ht="87.75" x14ac:dyDescent="0.2">
      <c r="A29" s="513" t="s">
        <v>1</v>
      </c>
      <c r="B29" s="514"/>
      <c r="C29" s="514"/>
      <c r="D29" s="514"/>
      <c r="E29" s="514"/>
      <c r="F29" s="514"/>
      <c r="G29" s="514"/>
      <c r="H29" s="514"/>
      <c r="I29" s="515"/>
    </row>
    <row r="30" spans="1:9" x14ac:dyDescent="0.2">
      <c r="A30" s="516"/>
      <c r="B30" s="517"/>
      <c r="C30" s="517"/>
      <c r="D30" s="517"/>
      <c r="E30" s="517"/>
      <c r="F30" s="517"/>
      <c r="G30" s="517"/>
      <c r="H30" s="517"/>
      <c r="I30" s="518"/>
    </row>
    <row r="31" spans="1:9" x14ac:dyDescent="0.2">
      <c r="A31" s="516"/>
      <c r="B31" s="517"/>
      <c r="C31" s="517"/>
      <c r="D31" s="517"/>
      <c r="E31" s="517"/>
      <c r="F31" s="517"/>
      <c r="G31" s="517"/>
      <c r="H31" s="517"/>
      <c r="I31" s="518"/>
    </row>
    <row r="32" spans="1:9" x14ac:dyDescent="0.2">
      <c r="A32" s="516"/>
      <c r="B32" s="517"/>
      <c r="C32" s="517"/>
      <c r="D32" s="517"/>
      <c r="E32" s="517"/>
      <c r="F32" s="517"/>
      <c r="G32" s="517"/>
      <c r="H32" s="517"/>
      <c r="I32" s="518"/>
    </row>
    <row r="33" spans="1:9" ht="90.75" x14ac:dyDescent="0.2">
      <c r="A33" s="519" t="s">
        <v>992</v>
      </c>
      <c r="B33" s="520"/>
      <c r="C33" s="520"/>
      <c r="D33" s="520"/>
      <c r="E33" s="520"/>
      <c r="F33" s="520"/>
      <c r="G33" s="520"/>
      <c r="H33" s="520"/>
      <c r="I33" s="521"/>
    </row>
    <row r="34" spans="1:9" x14ac:dyDescent="0.2">
      <c r="A34" s="510"/>
      <c r="B34" s="511"/>
      <c r="C34" s="511"/>
      <c r="D34" s="511"/>
      <c r="E34" s="511"/>
      <c r="F34" s="511"/>
      <c r="G34" s="511"/>
      <c r="H34" s="511"/>
      <c r="I34" s="512"/>
    </row>
    <row r="35" spans="1:9" x14ac:dyDescent="0.2">
      <c r="A35" s="510"/>
      <c r="B35" s="511"/>
      <c r="C35" s="511"/>
      <c r="D35" s="511"/>
      <c r="E35" s="511"/>
      <c r="F35" s="511"/>
      <c r="G35" s="511"/>
      <c r="H35" s="511"/>
      <c r="I35" s="512"/>
    </row>
    <row r="36" spans="1:9" x14ac:dyDescent="0.2">
      <c r="A36" s="510"/>
      <c r="B36" s="511"/>
      <c r="C36" s="511"/>
      <c r="D36" s="511"/>
      <c r="E36" s="511"/>
      <c r="F36" s="511"/>
      <c r="G36" s="511"/>
      <c r="H36" s="511"/>
      <c r="I36" s="512"/>
    </row>
    <row r="37" spans="1:9" x14ac:dyDescent="0.2">
      <c r="A37" s="510"/>
      <c r="B37" s="511"/>
      <c r="C37" s="511"/>
      <c r="D37" s="511"/>
      <c r="E37" s="511"/>
      <c r="F37" s="511"/>
      <c r="G37" s="511"/>
      <c r="H37" s="511"/>
      <c r="I37" s="512"/>
    </row>
    <row r="38" spans="1:9" x14ac:dyDescent="0.2">
      <c r="A38" s="510"/>
      <c r="B38" s="511"/>
      <c r="C38" s="511"/>
      <c r="D38" s="511"/>
      <c r="E38" s="511"/>
      <c r="F38" s="511"/>
      <c r="G38" s="511"/>
      <c r="H38" s="511"/>
      <c r="I38" s="512"/>
    </row>
    <row r="39" spans="1:9" ht="13.5" thickBot="1" x14ac:dyDescent="0.25">
      <c r="A39" s="525"/>
      <c r="B39" s="526"/>
      <c r="C39" s="526"/>
      <c r="D39" s="526"/>
      <c r="E39" s="526"/>
      <c r="F39" s="526"/>
      <c r="G39" s="526"/>
      <c r="H39" s="526"/>
      <c r="I39" s="527"/>
    </row>
    <row r="40" spans="1:9" x14ac:dyDescent="0.2">
      <c r="A40" s="511"/>
      <c r="B40" s="511"/>
      <c r="C40" s="511"/>
      <c r="D40" s="511"/>
      <c r="E40" s="511"/>
      <c r="F40" s="511"/>
      <c r="G40" s="511"/>
      <c r="H40" s="511"/>
      <c r="I40" s="511"/>
    </row>
    <row r="41" spans="1:9" x14ac:dyDescent="0.2">
      <c r="A41" s="511"/>
      <c r="B41" s="511"/>
      <c r="C41" s="511"/>
      <c r="D41" s="511"/>
      <c r="E41" s="511"/>
      <c r="F41" s="511"/>
      <c r="G41" s="511"/>
      <c r="H41" s="511"/>
      <c r="I41" s="511"/>
    </row>
    <row r="42" spans="1:9" x14ac:dyDescent="0.2">
      <c r="A42" s="511"/>
      <c r="B42" s="511"/>
      <c r="C42" s="511"/>
      <c r="D42" s="511"/>
      <c r="E42" s="511"/>
      <c r="F42" s="511"/>
      <c r="G42" s="511"/>
      <c r="H42" s="511"/>
      <c r="I42" s="511"/>
    </row>
    <row r="43" spans="1:9" x14ac:dyDescent="0.2">
      <c r="A43" s="511"/>
      <c r="B43" s="511"/>
      <c r="C43" s="511"/>
      <c r="D43" s="511"/>
      <c r="E43" s="511"/>
      <c r="F43" s="511"/>
      <c r="G43" s="511"/>
      <c r="H43" s="511"/>
      <c r="I43" s="511"/>
    </row>
    <row r="44" spans="1:9" x14ac:dyDescent="0.2">
      <c r="A44" s="511"/>
      <c r="B44" s="511"/>
      <c r="C44" s="511"/>
      <c r="D44" s="511"/>
      <c r="E44" s="511"/>
      <c r="F44" s="511"/>
      <c r="G44" s="511"/>
      <c r="H44" s="511"/>
      <c r="I44" s="511"/>
    </row>
    <row r="45" spans="1:9" x14ac:dyDescent="0.2">
      <c r="A45" s="511"/>
      <c r="B45" s="511"/>
      <c r="C45" s="511"/>
      <c r="D45" s="511"/>
      <c r="E45" s="511"/>
      <c r="F45" s="511"/>
      <c r="G45" s="511"/>
      <c r="H45" s="511"/>
      <c r="I45" s="511"/>
    </row>
    <row r="46" spans="1:9" x14ac:dyDescent="0.2">
      <c r="A46" s="511"/>
      <c r="B46" s="511"/>
      <c r="C46" s="511"/>
      <c r="D46" s="511"/>
      <c r="E46" s="511"/>
      <c r="F46" s="511"/>
      <c r="G46" s="511"/>
      <c r="H46" s="511"/>
      <c r="I46" s="511"/>
    </row>
    <row r="47" spans="1:9" x14ac:dyDescent="0.2">
      <c r="A47" s="511"/>
      <c r="B47" s="511"/>
      <c r="C47" s="511"/>
      <c r="D47" s="511"/>
      <c r="E47" s="511"/>
      <c r="F47" s="511"/>
      <c r="G47" s="511"/>
      <c r="H47" s="511"/>
      <c r="I47" s="511"/>
    </row>
  </sheetData>
  <mergeCells count="34">
    <mergeCell ref="A46:I46"/>
    <mergeCell ref="A47:I47"/>
    <mergeCell ref="A13:I17"/>
    <mergeCell ref="A40:I40"/>
    <mergeCell ref="A41:I41"/>
    <mergeCell ref="A42:I42"/>
    <mergeCell ref="A43:I43"/>
    <mergeCell ref="A44:I44"/>
    <mergeCell ref="A45:I45"/>
    <mergeCell ref="A34:I34"/>
    <mergeCell ref="A35:I35"/>
    <mergeCell ref="A36:I36"/>
    <mergeCell ref="A37:I37"/>
    <mergeCell ref="A38:I38"/>
    <mergeCell ref="A39:I39"/>
    <mergeCell ref="A28:I28"/>
    <mergeCell ref="A29:I29"/>
    <mergeCell ref="A30:I30"/>
    <mergeCell ref="A31:I31"/>
    <mergeCell ref="A32:I32"/>
    <mergeCell ref="A33:I33"/>
    <mergeCell ref="A10:I10"/>
    <mergeCell ref="A11:I11"/>
    <mergeCell ref="A12:I12"/>
    <mergeCell ref="A27:I27"/>
    <mergeCell ref="A18:I18"/>
    <mergeCell ref="A19:I19"/>
    <mergeCell ref="A20:I20"/>
    <mergeCell ref="A21:I21"/>
    <mergeCell ref="A22:I22"/>
    <mergeCell ref="A23:I23"/>
    <mergeCell ref="A24:I24"/>
    <mergeCell ref="A25:I25"/>
    <mergeCell ref="A26:I26"/>
  </mergeCells>
  <pageMargins left="0.7" right="0.36458333333333331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M36"/>
  <sheetViews>
    <sheetView showGridLines="0" rightToLeft="1" view="pageBreakPreview" zoomScale="60" zoomScaleNormal="100" workbookViewId="0">
      <selection activeCell="K9" sqref="K9"/>
    </sheetView>
  </sheetViews>
  <sheetFormatPr defaultRowHeight="15.75" x14ac:dyDescent="0.25"/>
  <cols>
    <col min="1" max="1" width="5.85546875" style="49" customWidth="1"/>
    <col min="2" max="2" width="37.28515625" style="49" customWidth="1"/>
    <col min="3" max="3" width="9.140625" style="49"/>
    <col min="4" max="4" width="12" style="49" customWidth="1"/>
    <col min="5" max="5" width="9.140625" style="49"/>
    <col min="6" max="6" width="12.28515625" style="49" hidden="1" customWidth="1"/>
    <col min="7" max="7" width="9.140625" style="49"/>
    <col min="8" max="8" width="12.42578125" style="49" customWidth="1"/>
    <col min="9" max="9" width="13.28515625" style="49" customWidth="1"/>
    <col min="10" max="11" width="12.28515625" style="49" customWidth="1"/>
    <col min="12" max="16384" width="9.140625" style="49"/>
  </cols>
  <sheetData>
    <row r="1" spans="1:13" x14ac:dyDescent="0.25">
      <c r="L1" s="25"/>
      <c r="M1" s="25"/>
    </row>
    <row r="2" spans="1:13" x14ac:dyDescent="0.25">
      <c r="A2" s="65"/>
      <c r="B2" s="65"/>
      <c r="C2" s="65"/>
      <c r="D2" s="65"/>
      <c r="E2" s="65"/>
      <c r="F2" s="65"/>
      <c r="G2" s="65"/>
      <c r="H2" s="65"/>
      <c r="I2" s="65" t="s">
        <v>236</v>
      </c>
      <c r="J2" s="75" t="s">
        <v>0</v>
      </c>
      <c r="K2" s="65"/>
      <c r="L2" s="25"/>
      <c r="M2" s="25"/>
    </row>
    <row r="3" spans="1:13" x14ac:dyDescent="0.25">
      <c r="A3" s="593" t="s">
        <v>237</v>
      </c>
      <c r="B3" s="593"/>
      <c r="C3" s="593"/>
      <c r="D3" s="593"/>
      <c r="E3" s="593"/>
      <c r="F3" s="593"/>
      <c r="G3" s="593"/>
      <c r="H3" s="593"/>
      <c r="I3" s="593"/>
      <c r="J3" s="593"/>
      <c r="K3" s="593"/>
      <c r="L3" s="25"/>
      <c r="M3" s="25"/>
    </row>
    <row r="4" spans="1:13" x14ac:dyDescent="0.25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25"/>
      <c r="M4" s="25"/>
    </row>
    <row r="5" spans="1:13" x14ac:dyDescent="0.25">
      <c r="A5" s="65"/>
      <c r="B5" s="592" t="s">
        <v>128</v>
      </c>
      <c r="C5" s="592"/>
      <c r="D5" s="592"/>
      <c r="E5" s="592"/>
      <c r="F5" s="592"/>
      <c r="G5" s="592"/>
      <c r="H5" s="592"/>
      <c r="I5" s="592"/>
      <c r="J5" s="592"/>
      <c r="K5" s="592"/>
      <c r="L5" s="25"/>
      <c r="M5" s="25"/>
    </row>
    <row r="6" spans="1:13" s="57" customFormat="1" ht="63" x14ac:dyDescent="0.25">
      <c r="A6" s="67"/>
      <c r="B6" s="52"/>
      <c r="C6" s="141" t="s">
        <v>1010</v>
      </c>
      <c r="D6" s="141" t="s">
        <v>238</v>
      </c>
      <c r="E6" s="141" t="s">
        <v>1004</v>
      </c>
      <c r="F6" s="141" t="s">
        <v>238</v>
      </c>
      <c r="G6" s="141" t="s">
        <v>109</v>
      </c>
      <c r="H6" s="64" t="s">
        <v>240</v>
      </c>
      <c r="I6" s="64" t="s">
        <v>241</v>
      </c>
      <c r="J6" s="64" t="s">
        <v>1011</v>
      </c>
      <c r="K6" s="64" t="s">
        <v>1012</v>
      </c>
      <c r="L6" s="25"/>
      <c r="M6" s="25"/>
    </row>
    <row r="7" spans="1:13" x14ac:dyDescent="0.25">
      <c r="A7" s="68"/>
      <c r="B7" s="101" t="s">
        <v>242</v>
      </c>
      <c r="C7" s="102">
        <v>2127</v>
      </c>
      <c r="D7" s="102">
        <v>2257</v>
      </c>
      <c r="E7" s="102">
        <v>2043</v>
      </c>
      <c r="F7" s="102"/>
      <c r="G7" s="102">
        <v>2257</v>
      </c>
      <c r="H7" s="102">
        <v>2043</v>
      </c>
      <c r="I7" s="102">
        <v>0</v>
      </c>
      <c r="J7" s="102">
        <v>0</v>
      </c>
      <c r="K7" s="102">
        <v>0</v>
      </c>
      <c r="L7" s="25"/>
      <c r="M7" s="25"/>
    </row>
    <row r="8" spans="1:13" hidden="1" x14ac:dyDescent="0.25">
      <c r="A8" s="68"/>
      <c r="B8" s="101"/>
      <c r="C8" s="102"/>
      <c r="D8" s="102"/>
      <c r="E8" s="102"/>
      <c r="F8" s="102"/>
      <c r="G8" s="102"/>
      <c r="H8" s="102"/>
      <c r="I8" s="102"/>
      <c r="J8" s="102"/>
      <c r="K8" s="102"/>
      <c r="L8" s="25"/>
      <c r="M8" s="25"/>
    </row>
    <row r="9" spans="1:13" x14ac:dyDescent="0.25">
      <c r="A9" s="68"/>
      <c r="B9" s="101" t="s">
        <v>243</v>
      </c>
      <c r="C9" s="102"/>
      <c r="D9" s="102"/>
      <c r="E9" s="102"/>
      <c r="F9" s="102"/>
      <c r="G9" s="102"/>
      <c r="H9" s="102"/>
      <c r="I9" s="102"/>
      <c r="J9" s="102"/>
      <c r="K9" s="102"/>
      <c r="L9" s="25"/>
      <c r="M9" s="25"/>
    </row>
    <row r="10" spans="1:13" hidden="1" x14ac:dyDescent="0.25">
      <c r="A10" s="68"/>
      <c r="B10" s="101"/>
      <c r="C10" s="102"/>
      <c r="D10" s="102"/>
      <c r="E10" s="102"/>
      <c r="F10" s="102"/>
      <c r="G10" s="102"/>
      <c r="H10" s="102"/>
      <c r="I10" s="102"/>
      <c r="J10" s="102"/>
      <c r="K10" s="102"/>
      <c r="L10" s="25"/>
      <c r="M10" s="25"/>
    </row>
    <row r="11" spans="1:13" x14ac:dyDescent="0.25">
      <c r="A11" s="68"/>
      <c r="B11" s="101" t="s">
        <v>244</v>
      </c>
      <c r="C11" s="102">
        <v>1321</v>
      </c>
      <c r="D11" s="102">
        <v>2202</v>
      </c>
      <c r="E11" s="102">
        <v>1349</v>
      </c>
      <c r="F11" s="102"/>
      <c r="G11" s="102">
        <v>2202</v>
      </c>
      <c r="H11" s="102">
        <v>2026</v>
      </c>
      <c r="I11" s="102">
        <v>0</v>
      </c>
      <c r="J11" s="102">
        <v>2026</v>
      </c>
      <c r="K11" s="102">
        <f>4542-J11</f>
        <v>2516</v>
      </c>
      <c r="L11" s="25"/>
      <c r="M11" s="25"/>
    </row>
    <row r="12" spans="1:13" hidden="1" x14ac:dyDescent="0.25">
      <c r="A12" s="68"/>
      <c r="B12" s="101"/>
      <c r="C12" s="102"/>
      <c r="D12" s="102"/>
      <c r="E12" s="102"/>
      <c r="F12" s="102"/>
      <c r="G12" s="102"/>
      <c r="H12" s="102"/>
      <c r="I12" s="102"/>
      <c r="J12" s="102"/>
      <c r="K12" s="102"/>
      <c r="L12" s="25"/>
      <c r="M12" s="25"/>
    </row>
    <row r="13" spans="1:13" x14ac:dyDescent="0.25">
      <c r="A13" s="68"/>
      <c r="B13" s="101" t="s">
        <v>245</v>
      </c>
      <c r="C13" s="103">
        <f>SUM(C7:C12)</f>
        <v>3448</v>
      </c>
      <c r="D13" s="103">
        <f>SUM(D7:D12)</f>
        <v>4459</v>
      </c>
      <c r="E13" s="103">
        <f>SUM(E7:E12)</f>
        <v>3392</v>
      </c>
      <c r="F13" s="103">
        <f t="shared" ref="F13:K13" si="0">SUM(F7:F12)</f>
        <v>0</v>
      </c>
      <c r="G13" s="103">
        <f t="shared" si="0"/>
        <v>4459</v>
      </c>
      <c r="H13" s="103">
        <f t="shared" si="0"/>
        <v>4069</v>
      </c>
      <c r="I13" s="103">
        <f t="shared" si="0"/>
        <v>0</v>
      </c>
      <c r="J13" s="103">
        <f t="shared" si="0"/>
        <v>2026</v>
      </c>
      <c r="K13" s="103">
        <f t="shared" si="0"/>
        <v>2516</v>
      </c>
      <c r="L13" s="25"/>
      <c r="M13" s="25"/>
    </row>
    <row r="14" spans="1:13" x14ac:dyDescent="0.25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25"/>
      <c r="M14" s="25"/>
    </row>
    <row r="15" spans="1:13" x14ac:dyDescent="0.25">
      <c r="A15" s="65"/>
      <c r="B15" s="69" t="s">
        <v>246</v>
      </c>
      <c r="C15" s="70"/>
      <c r="D15" s="70"/>
      <c r="E15" s="68"/>
      <c r="F15" s="68"/>
      <c r="G15" s="68"/>
      <c r="H15" s="68"/>
      <c r="I15" s="68"/>
      <c r="J15" s="68"/>
      <c r="K15" s="68"/>
      <c r="L15" s="25"/>
      <c r="M15" s="25"/>
    </row>
    <row r="16" spans="1:13" x14ac:dyDescent="0.25">
      <c r="A16" s="65"/>
      <c r="B16" s="71" t="s">
        <v>247</v>
      </c>
      <c r="C16" s="65"/>
      <c r="D16" s="65"/>
      <c r="E16" s="65"/>
      <c r="F16" s="65"/>
      <c r="G16" s="65"/>
      <c r="H16" s="65"/>
      <c r="I16" s="65"/>
      <c r="J16" s="65"/>
      <c r="K16" s="65"/>
      <c r="L16" s="25"/>
      <c r="M16" s="25"/>
    </row>
    <row r="17" spans="1:13" x14ac:dyDescent="0.25">
      <c r="A17" s="65"/>
      <c r="B17" s="72" t="s">
        <v>1015</v>
      </c>
      <c r="C17" s="73"/>
      <c r="D17" s="73"/>
      <c r="E17" s="73"/>
      <c r="F17" s="73"/>
      <c r="G17" s="73"/>
      <c r="H17" s="65"/>
      <c r="I17" s="65"/>
      <c r="J17" s="65"/>
      <c r="K17" s="65"/>
      <c r="L17" s="25"/>
      <c r="M17" s="25"/>
    </row>
    <row r="18" spans="1:13" x14ac:dyDescent="0.25">
      <c r="A18" s="65"/>
      <c r="B18" s="72"/>
      <c r="C18" s="65"/>
      <c r="D18" s="65"/>
      <c r="E18" s="65"/>
      <c r="F18" s="65"/>
      <c r="G18" s="65"/>
      <c r="H18" s="65"/>
      <c r="I18" s="65"/>
      <c r="J18" s="65"/>
      <c r="K18" s="65"/>
      <c r="L18" s="25"/>
      <c r="M18" s="25"/>
    </row>
    <row r="19" spans="1:13" x14ac:dyDescent="0.25">
      <c r="A19" s="73"/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25"/>
      <c r="M19" s="25"/>
    </row>
    <row r="20" spans="1:13" x14ac:dyDescent="0.25">
      <c r="A20" s="65"/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25"/>
      <c r="M20" s="25"/>
    </row>
    <row r="21" spans="1:13" x14ac:dyDescent="0.25">
      <c r="A21" s="74"/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25"/>
      <c r="M21" s="25"/>
    </row>
    <row r="22" spans="1:13" x14ac:dyDescent="0.25">
      <c r="A22" s="65"/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25"/>
      <c r="M22" s="25"/>
    </row>
    <row r="23" spans="1:13" x14ac:dyDescent="0.25">
      <c r="A23" s="65"/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25"/>
      <c r="M23" s="25"/>
    </row>
    <row r="24" spans="1:13" x14ac:dyDescent="0.25">
      <c r="A24" s="65"/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25"/>
      <c r="M24" s="25"/>
    </row>
    <row r="25" spans="1:13" x14ac:dyDescent="0.25">
      <c r="A25" s="65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25"/>
      <c r="M25" s="25"/>
    </row>
    <row r="26" spans="1:13" x14ac:dyDescent="0.25">
      <c r="A26" s="65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25"/>
      <c r="M26" s="25"/>
    </row>
    <row r="27" spans="1:13" x14ac:dyDescent="0.25">
      <c r="A27" s="65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25"/>
      <c r="M27" s="25"/>
    </row>
    <row r="28" spans="1:13" x14ac:dyDescent="0.25">
      <c r="A28" s="65"/>
      <c r="B28" s="66"/>
      <c r="C28" s="30"/>
      <c r="D28" s="30"/>
      <c r="E28" s="30"/>
      <c r="F28" s="30"/>
      <c r="G28" s="30"/>
      <c r="H28" s="30"/>
      <c r="I28" s="30"/>
      <c r="J28" s="30"/>
      <c r="K28" s="66"/>
      <c r="L28" s="25"/>
      <c r="M28" s="25"/>
    </row>
    <row r="29" spans="1:13" x14ac:dyDescent="0.25">
      <c r="A29" s="65"/>
      <c r="C29" s="30"/>
      <c r="D29" s="78" t="s">
        <v>60</v>
      </c>
      <c r="E29" s="30"/>
      <c r="F29" s="30"/>
      <c r="G29" s="30"/>
      <c r="H29" s="30"/>
      <c r="I29" s="30"/>
      <c r="J29" s="30"/>
      <c r="K29" s="78" t="s">
        <v>63</v>
      </c>
      <c r="L29" s="25"/>
      <c r="M29" s="25"/>
    </row>
    <row r="30" spans="1:13" x14ac:dyDescent="0.25">
      <c r="A30" s="25"/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25"/>
      <c r="M30" s="25"/>
    </row>
    <row r="31" spans="1:13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</row>
    <row r="32" spans="1:13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</row>
    <row r="33" spans="1:13" x14ac:dyDescent="0.2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</row>
    <row r="34" spans="1:13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</row>
    <row r="35" spans="1:13" x14ac:dyDescent="0.2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</row>
    <row r="36" spans="1:13" x14ac:dyDescent="0.2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</row>
  </sheetData>
  <mergeCells count="2">
    <mergeCell ref="B5:K5"/>
    <mergeCell ref="A3:K3"/>
  </mergeCells>
  <phoneticPr fontId="0" type="noConversion"/>
  <pageMargins left="0.23622047244094491" right="0.15748031496062992" top="0.39370078740157483" bottom="0.74803149606299213" header="0.31496062992125984" footer="0.31496062992125984"/>
  <pageSetup paperSize="9" orientation="landscape" r:id="rId1"/>
  <headerFooter alignWithMargins="0">
    <oddFooter>&amp;L&amp;"David,מודגש"&amp;12&amp;P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N32"/>
  <sheetViews>
    <sheetView showGridLines="0" rightToLeft="1" view="pageBreakPreview" topLeftCell="B1" zoomScale="60" zoomScaleNormal="100" workbookViewId="0">
      <selection activeCell="J15" sqref="J15"/>
    </sheetView>
  </sheetViews>
  <sheetFormatPr defaultRowHeight="15.75" x14ac:dyDescent="0.25"/>
  <cols>
    <col min="1" max="1" width="8" style="49" customWidth="1"/>
    <col min="2" max="2" width="43.140625" style="49" customWidth="1"/>
    <col min="3" max="3" width="9.7109375" style="49" customWidth="1"/>
    <col min="4" max="4" width="15.42578125" style="49" customWidth="1"/>
    <col min="5" max="5" width="9.140625" style="49"/>
    <col min="6" max="6" width="0" style="49" hidden="1" customWidth="1"/>
    <col min="7" max="7" width="8.5703125" style="49" hidden="1" customWidth="1"/>
    <col min="8" max="8" width="9.140625" style="49" customWidth="1"/>
    <col min="9" max="9" width="9.42578125" style="49" customWidth="1"/>
    <col min="10" max="10" width="8.85546875" style="49" customWidth="1"/>
    <col min="11" max="11" width="9.85546875" style="49" customWidth="1"/>
    <col min="12" max="13" width="7.7109375" style="49" customWidth="1"/>
    <col min="14" max="16384" width="9.140625" style="49"/>
  </cols>
  <sheetData>
    <row r="1" spans="1:14" x14ac:dyDescent="0.25">
      <c r="A1" s="25"/>
      <c r="B1" s="25"/>
      <c r="C1" s="25"/>
    </row>
    <row r="2" spans="1:14" x14ac:dyDescent="0.25">
      <c r="A2" s="25"/>
      <c r="B2" s="25"/>
      <c r="C2" s="25"/>
      <c r="H2" s="49" t="s">
        <v>236</v>
      </c>
      <c r="I2" s="29" t="str">
        <f>'נספח 6 - פרעמ'!J2</f>
        <v>מועצה מקומית עוספייה</v>
      </c>
      <c r="J2" s="29"/>
      <c r="K2" s="29"/>
    </row>
    <row r="3" spans="1:14" x14ac:dyDescent="0.25">
      <c r="A3" s="593" t="s">
        <v>248</v>
      </c>
      <c r="B3" s="593"/>
      <c r="C3" s="593"/>
      <c r="D3" s="593"/>
      <c r="E3" s="593"/>
      <c r="F3" s="593"/>
      <c r="G3" s="593"/>
      <c r="H3" s="593"/>
      <c r="I3" s="593"/>
      <c r="J3" s="593"/>
      <c r="K3" s="593"/>
      <c r="L3" s="593"/>
      <c r="M3" s="76"/>
      <c r="N3" s="76"/>
    </row>
    <row r="4" spans="1:14" ht="16.5" customHeight="1" x14ac:dyDescent="0.25">
      <c r="A4" s="25"/>
      <c r="B4" s="25"/>
      <c r="C4" s="25"/>
    </row>
    <row r="5" spans="1:14" ht="47.25" x14ac:dyDescent="0.25">
      <c r="A5" s="141" t="s">
        <v>229</v>
      </c>
      <c r="B5" s="141" t="s">
        <v>249</v>
      </c>
      <c r="C5" s="141" t="s">
        <v>1003</v>
      </c>
      <c r="D5" s="141" t="s">
        <v>238</v>
      </c>
      <c r="E5" s="141" t="s">
        <v>1004</v>
      </c>
      <c r="F5" s="141" t="s">
        <v>108</v>
      </c>
      <c r="G5" s="328" t="s">
        <v>239</v>
      </c>
      <c r="H5" s="141" t="s">
        <v>250</v>
      </c>
      <c r="I5" s="141" t="s">
        <v>251</v>
      </c>
      <c r="J5" s="141" t="s">
        <v>1013</v>
      </c>
      <c r="K5" s="141" t="s">
        <v>1014</v>
      </c>
      <c r="L5" s="141" t="s">
        <v>252</v>
      </c>
    </row>
    <row r="6" spans="1:14" x14ac:dyDescent="0.25">
      <c r="A6" s="50"/>
      <c r="B6" s="50" t="s">
        <v>253</v>
      </c>
      <c r="C6" s="145">
        <v>98</v>
      </c>
      <c r="D6" s="145">
        <v>81</v>
      </c>
      <c r="E6" s="145">
        <v>96</v>
      </c>
      <c r="F6" s="145">
        <v>111</v>
      </c>
      <c r="G6" s="145">
        <v>107</v>
      </c>
      <c r="H6" s="145">
        <v>102</v>
      </c>
      <c r="I6" s="145">
        <f>E6-H6</f>
        <v>-6</v>
      </c>
      <c r="J6" s="145">
        <v>102</v>
      </c>
      <c r="K6" s="145">
        <f>J6-H6</f>
        <v>0</v>
      </c>
      <c r="L6" s="322"/>
    </row>
    <row r="7" spans="1:14" x14ac:dyDescent="0.25">
      <c r="A7" s="50"/>
      <c r="B7" s="50" t="s">
        <v>254</v>
      </c>
      <c r="C7" s="145">
        <v>156</v>
      </c>
      <c r="D7" s="145">
        <v>155</v>
      </c>
      <c r="E7" s="145">
        <v>155</v>
      </c>
      <c r="F7" s="145">
        <v>165</v>
      </c>
      <c r="G7" s="145">
        <v>169</v>
      </c>
      <c r="H7" s="145">
        <v>155</v>
      </c>
      <c r="I7" s="145">
        <f t="shared" ref="I7:I16" si="0">E7-H7</f>
        <v>0</v>
      </c>
      <c r="J7" s="145">
        <v>155</v>
      </c>
      <c r="K7" s="145">
        <f t="shared" ref="K7:K16" si="1">J7-H7</f>
        <v>0</v>
      </c>
      <c r="L7" s="322"/>
    </row>
    <row r="8" spans="1:14" x14ac:dyDescent="0.25">
      <c r="A8" s="50"/>
      <c r="B8" s="50" t="s">
        <v>255</v>
      </c>
      <c r="C8" s="145">
        <v>2575</v>
      </c>
      <c r="D8" s="145">
        <v>1207</v>
      </c>
      <c r="E8" s="145">
        <v>2465</v>
      </c>
      <c r="F8" s="145">
        <v>0</v>
      </c>
      <c r="G8" s="145">
        <v>0</v>
      </c>
      <c r="H8" s="145">
        <v>1490</v>
      </c>
      <c r="I8" s="145">
        <f t="shared" ref="I8" si="2">E8-H8</f>
        <v>975</v>
      </c>
      <c r="J8" s="145">
        <v>1490</v>
      </c>
      <c r="K8" s="145">
        <f t="shared" si="1"/>
        <v>0</v>
      </c>
      <c r="L8" s="322"/>
    </row>
    <row r="9" spans="1:14" x14ac:dyDescent="0.25">
      <c r="A9" s="50"/>
      <c r="B9" s="50" t="s">
        <v>256</v>
      </c>
      <c r="C9" s="145"/>
      <c r="D9" s="145"/>
      <c r="E9" s="145"/>
      <c r="F9" s="145">
        <v>27</v>
      </c>
      <c r="G9" s="145">
        <v>27</v>
      </c>
      <c r="H9" s="145"/>
      <c r="I9" s="145">
        <f t="shared" si="0"/>
        <v>0</v>
      </c>
      <c r="J9" s="145"/>
      <c r="K9" s="145">
        <f t="shared" si="1"/>
        <v>0</v>
      </c>
      <c r="L9" s="322"/>
    </row>
    <row r="10" spans="1:14" x14ac:dyDescent="0.25">
      <c r="A10" s="50"/>
      <c r="B10" s="50" t="s">
        <v>257</v>
      </c>
      <c r="C10" s="145">
        <v>70</v>
      </c>
      <c r="D10" s="145">
        <v>69</v>
      </c>
      <c r="E10" s="145">
        <v>70</v>
      </c>
      <c r="F10" s="145">
        <v>70</v>
      </c>
      <c r="G10" s="145">
        <v>76</v>
      </c>
      <c r="H10" s="145">
        <v>72</v>
      </c>
      <c r="I10" s="145">
        <f t="shared" si="0"/>
        <v>-2</v>
      </c>
      <c r="J10" s="145">
        <v>72</v>
      </c>
      <c r="K10" s="145">
        <f t="shared" si="1"/>
        <v>0</v>
      </c>
      <c r="L10" s="322"/>
    </row>
    <row r="11" spans="1:14" x14ac:dyDescent="0.25">
      <c r="A11" s="50"/>
      <c r="B11" s="50" t="s">
        <v>258</v>
      </c>
      <c r="C11" s="145">
        <v>21</v>
      </c>
      <c r="D11" s="145">
        <v>85</v>
      </c>
      <c r="E11" s="145">
        <v>44</v>
      </c>
      <c r="F11" s="145">
        <v>161</v>
      </c>
      <c r="G11" s="145">
        <v>161</v>
      </c>
      <c r="H11" s="145">
        <v>207</v>
      </c>
      <c r="I11" s="145">
        <f t="shared" si="0"/>
        <v>-163</v>
      </c>
      <c r="J11" s="145">
        <v>207</v>
      </c>
      <c r="K11" s="145">
        <f>J11-H11</f>
        <v>0</v>
      </c>
      <c r="L11" s="322"/>
    </row>
    <row r="12" spans="1:14" x14ac:dyDescent="0.25">
      <c r="A12" s="50"/>
      <c r="B12" s="50" t="s">
        <v>259</v>
      </c>
      <c r="C12" s="145"/>
      <c r="D12" s="145"/>
      <c r="E12" s="145"/>
      <c r="F12" s="145"/>
      <c r="G12" s="145"/>
      <c r="H12" s="145"/>
      <c r="I12" s="145"/>
      <c r="J12" s="145"/>
      <c r="K12" s="145">
        <f t="shared" si="1"/>
        <v>0</v>
      </c>
      <c r="L12" s="322"/>
    </row>
    <row r="13" spans="1:14" x14ac:dyDescent="0.25">
      <c r="A13" s="50"/>
      <c r="B13" s="50" t="s">
        <v>145</v>
      </c>
      <c r="C13" s="145">
        <v>1004</v>
      </c>
      <c r="D13" s="145">
        <v>1148</v>
      </c>
      <c r="E13" s="145">
        <v>941</v>
      </c>
      <c r="F13" s="145">
        <v>966</v>
      </c>
      <c r="G13" s="145">
        <v>1072</v>
      </c>
      <c r="H13" s="145">
        <f>60+25+24</f>
        <v>109</v>
      </c>
      <c r="I13" s="145">
        <f t="shared" si="0"/>
        <v>832</v>
      </c>
      <c r="J13" s="145">
        <f>25+24</f>
        <v>49</v>
      </c>
      <c r="K13" s="145">
        <f t="shared" si="1"/>
        <v>-60</v>
      </c>
      <c r="L13" s="322"/>
    </row>
    <row r="14" spans="1:14" x14ac:dyDescent="0.25">
      <c r="A14" s="128"/>
      <c r="B14" s="128" t="s">
        <v>148</v>
      </c>
      <c r="C14" s="323">
        <v>5546</v>
      </c>
      <c r="D14" s="145">
        <v>4291</v>
      </c>
      <c r="E14" s="145">
        <v>6029</v>
      </c>
      <c r="F14" s="145" t="e">
        <f>#REF!</f>
        <v>#REF!</v>
      </c>
      <c r="G14" s="145">
        <v>5197</v>
      </c>
      <c r="H14" s="145">
        <v>5764</v>
      </c>
      <c r="I14" s="145">
        <f t="shared" si="0"/>
        <v>265</v>
      </c>
      <c r="J14" s="145">
        <v>5765</v>
      </c>
      <c r="K14" s="145">
        <f t="shared" si="1"/>
        <v>1</v>
      </c>
      <c r="L14" s="322"/>
    </row>
    <row r="15" spans="1:14" x14ac:dyDescent="0.25">
      <c r="A15" s="128"/>
      <c r="B15" s="128" t="s">
        <v>146</v>
      </c>
      <c r="C15" s="323">
        <v>102</v>
      </c>
      <c r="D15" s="145">
        <v>0</v>
      </c>
      <c r="E15" s="145">
        <v>0</v>
      </c>
      <c r="F15" s="145">
        <v>0</v>
      </c>
      <c r="G15" s="145">
        <v>0</v>
      </c>
      <c r="H15" s="145">
        <v>0</v>
      </c>
      <c r="I15" s="145">
        <f t="shared" si="0"/>
        <v>0</v>
      </c>
      <c r="J15" s="145">
        <v>0</v>
      </c>
      <c r="K15" s="145">
        <f t="shared" si="1"/>
        <v>0</v>
      </c>
      <c r="L15" s="322"/>
    </row>
    <row r="16" spans="1:14" x14ac:dyDescent="0.25">
      <c r="A16" s="128"/>
      <c r="B16" s="128" t="s">
        <v>124</v>
      </c>
      <c r="C16" s="323">
        <v>4971</v>
      </c>
      <c r="D16" s="145">
        <v>5000</v>
      </c>
      <c r="E16" s="145">
        <v>5256</v>
      </c>
      <c r="F16" s="145">
        <f>'טבלה 1 - התקציב הרגיל'!G44</f>
        <v>4270</v>
      </c>
      <c r="G16" s="145">
        <f>'טבלה 1 - התקציב הרגיל'!H44</f>
        <v>5256</v>
      </c>
      <c r="H16" s="145">
        <v>5284</v>
      </c>
      <c r="I16" s="145">
        <f t="shared" si="0"/>
        <v>-28</v>
      </c>
      <c r="J16" s="145">
        <v>5284</v>
      </c>
      <c r="K16" s="145">
        <f t="shared" si="1"/>
        <v>0</v>
      </c>
      <c r="L16" s="322"/>
    </row>
    <row r="17" spans="1:14" s="29" customFormat="1" x14ac:dyDescent="0.25">
      <c r="A17" s="594" t="s">
        <v>116</v>
      </c>
      <c r="B17" s="595"/>
      <c r="C17" s="324">
        <f>SUM(C6:C16)</f>
        <v>14543</v>
      </c>
      <c r="D17" s="324">
        <f t="shared" ref="D17:I17" si="3">SUM(D6:D16)</f>
        <v>12036</v>
      </c>
      <c r="E17" s="324">
        <f t="shared" si="3"/>
        <v>15056</v>
      </c>
      <c r="F17" s="324" t="e">
        <f t="shared" si="3"/>
        <v>#REF!</v>
      </c>
      <c r="G17" s="324">
        <f t="shared" si="3"/>
        <v>12065</v>
      </c>
      <c r="H17" s="324">
        <f t="shared" si="3"/>
        <v>13183</v>
      </c>
      <c r="I17" s="324">
        <f t="shared" si="3"/>
        <v>1873</v>
      </c>
      <c r="J17" s="324">
        <f>SUM(J6:J16)</f>
        <v>13124</v>
      </c>
      <c r="K17" s="324">
        <f>SUM(K6:K16)</f>
        <v>-59</v>
      </c>
      <c r="L17" s="325"/>
    </row>
    <row r="18" spans="1:14" x14ac:dyDescent="0.25">
      <c r="A18" s="25"/>
      <c r="B18" s="25"/>
      <c r="C18" s="25"/>
    </row>
    <row r="19" spans="1:14" x14ac:dyDescent="0.25">
      <c r="A19" s="25"/>
      <c r="B19" s="25"/>
      <c r="C19" s="25"/>
    </row>
    <row r="20" spans="1:14" x14ac:dyDescent="0.25">
      <c r="A20" s="25"/>
      <c r="B20" s="25"/>
      <c r="C20" s="25"/>
    </row>
    <row r="21" spans="1:14" x14ac:dyDescent="0.25">
      <c r="A21" s="25"/>
      <c r="B21" s="25"/>
      <c r="C21" s="25"/>
    </row>
    <row r="22" spans="1:14" x14ac:dyDescent="0.25">
      <c r="A22" s="25"/>
      <c r="B22" s="25"/>
      <c r="C22" s="25"/>
    </row>
    <row r="23" spans="1:14" x14ac:dyDescent="0.25">
      <c r="A23" s="25"/>
      <c r="B23" s="77"/>
      <c r="C23" s="77"/>
      <c r="D23" s="29"/>
      <c r="E23" s="29"/>
      <c r="F23" s="29"/>
      <c r="G23" s="29"/>
      <c r="H23" s="29"/>
      <c r="I23" s="29"/>
      <c r="J23" s="29"/>
      <c r="K23" s="29"/>
      <c r="L23" s="29"/>
    </row>
    <row r="24" spans="1:14" x14ac:dyDescent="0.25">
      <c r="A24" s="25"/>
      <c r="B24" s="77"/>
      <c r="C24" s="77"/>
      <c r="D24" s="80"/>
      <c r="E24" s="80"/>
      <c r="F24" s="80"/>
      <c r="G24" s="80"/>
      <c r="H24" s="80"/>
      <c r="I24" s="80"/>
      <c r="J24" s="80"/>
      <c r="K24" s="80"/>
      <c r="L24" s="80"/>
      <c r="M24" s="79"/>
      <c r="N24" s="79"/>
    </row>
    <row r="25" spans="1:14" x14ac:dyDescent="0.25">
      <c r="A25" s="25"/>
      <c r="B25" s="77"/>
      <c r="C25" s="77"/>
      <c r="D25" s="29"/>
      <c r="E25" s="29"/>
      <c r="F25" s="29"/>
      <c r="G25" s="29"/>
      <c r="H25" s="29"/>
      <c r="I25" s="29"/>
      <c r="J25" s="29"/>
      <c r="K25" s="29"/>
      <c r="L25" s="29"/>
    </row>
    <row r="26" spans="1:14" x14ac:dyDescent="0.25">
      <c r="A26" s="25"/>
      <c r="B26" s="78" t="s">
        <v>60</v>
      </c>
      <c r="C26" s="29"/>
      <c r="D26" s="29"/>
      <c r="E26" s="29"/>
      <c r="F26" s="29"/>
      <c r="G26" s="29"/>
      <c r="H26" s="29"/>
      <c r="I26" s="78" t="s">
        <v>63</v>
      </c>
      <c r="J26" s="66"/>
      <c r="K26" s="66"/>
      <c r="L26" s="77"/>
      <c r="M26" s="25"/>
      <c r="N26" s="25"/>
    </row>
    <row r="27" spans="1:14" x14ac:dyDescent="0.25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</row>
    <row r="28" spans="1:14" x14ac:dyDescent="0.25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</row>
    <row r="29" spans="1:14" x14ac:dyDescent="0.25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</row>
    <row r="30" spans="1:14" x14ac:dyDescent="0.25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</row>
    <row r="31" spans="1:14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</row>
    <row r="32" spans="1:14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</row>
  </sheetData>
  <mergeCells count="2">
    <mergeCell ref="A3:L3"/>
    <mergeCell ref="A17:B17"/>
  </mergeCells>
  <phoneticPr fontId="0" type="noConversion"/>
  <pageMargins left="0.23622047244094491" right="0.15748031496062992" top="0.39370078740157483" bottom="0.74803149606299213" header="0.31496062992125984" footer="0.31496062992125984"/>
  <pageSetup paperSize="9" scale="90" orientation="landscape" r:id="rId1"/>
  <headerFooter alignWithMargins="0">
    <oddFooter>&amp;L&amp;"David,מודגש"&amp;12&amp;P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P57"/>
  <sheetViews>
    <sheetView showGridLines="0" rightToLeft="1" view="pageBreakPreview" topLeftCell="A4" zoomScale="60" zoomScaleNormal="100" zoomScalePageLayoutView="80" workbookViewId="0">
      <selection activeCell="K6" sqref="K6"/>
    </sheetView>
  </sheetViews>
  <sheetFormatPr defaultRowHeight="15.75" x14ac:dyDescent="0.25"/>
  <cols>
    <col min="1" max="1" width="43.85546875" style="49" customWidth="1"/>
    <col min="2" max="2" width="14.28515625" style="49" customWidth="1"/>
    <col min="3" max="3" width="9.140625" style="49"/>
    <col min="4" max="4" width="14.42578125" style="49" hidden="1" customWidth="1"/>
    <col min="5" max="5" width="9.140625" style="49"/>
    <col min="6" max="6" width="9.7109375" style="49" customWidth="1"/>
    <col min="7" max="10" width="9.140625" style="49"/>
    <col min="11" max="11" width="11.140625" style="49" bestFit="1" customWidth="1"/>
    <col min="12" max="12" width="9.140625" style="49"/>
    <col min="13" max="13" width="12.140625" style="49" customWidth="1"/>
    <col min="14" max="16384" width="9.140625" style="49"/>
  </cols>
  <sheetData>
    <row r="1" spans="1:16" x14ac:dyDescent="0.25">
      <c r="A1" s="79"/>
      <c r="N1" s="25"/>
      <c r="O1" s="25"/>
      <c r="P1" s="25"/>
    </row>
    <row r="2" spans="1:16" x14ac:dyDescent="0.25">
      <c r="A2" s="79"/>
      <c r="K2" s="49" t="s">
        <v>236</v>
      </c>
      <c r="L2" s="29" t="str">
        <f>'נספח 7 - תמיכות'!I2</f>
        <v>מועצה מקומית עוספייה</v>
      </c>
      <c r="N2" s="25"/>
      <c r="O2" s="25"/>
      <c r="P2" s="25"/>
    </row>
    <row r="3" spans="1:16" x14ac:dyDescent="0.25">
      <c r="A3" s="584" t="s">
        <v>260</v>
      </c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84"/>
      <c r="P3" s="25"/>
    </row>
    <row r="4" spans="1:16" x14ac:dyDescent="0.25">
      <c r="A4" s="81"/>
      <c r="N4" s="25"/>
      <c r="O4" s="25"/>
      <c r="P4" s="25"/>
    </row>
    <row r="5" spans="1:16" ht="47.25" x14ac:dyDescent="0.25">
      <c r="A5" s="142" t="s">
        <v>229</v>
      </c>
      <c r="B5" s="141" t="s">
        <v>238</v>
      </c>
      <c r="C5" s="141" t="s">
        <v>1003</v>
      </c>
      <c r="D5" s="141" t="s">
        <v>238</v>
      </c>
      <c r="E5" s="141" t="s">
        <v>109</v>
      </c>
      <c r="F5" s="141" t="s">
        <v>233</v>
      </c>
      <c r="G5" s="141" t="s">
        <v>1004</v>
      </c>
      <c r="H5" s="141" t="s">
        <v>261</v>
      </c>
      <c r="I5" s="141" t="s">
        <v>233</v>
      </c>
      <c r="J5" s="141" t="s">
        <v>110</v>
      </c>
      <c r="K5" s="141" t="s">
        <v>1018</v>
      </c>
      <c r="L5" s="141" t="s">
        <v>233</v>
      </c>
      <c r="M5" s="141" t="s">
        <v>1005</v>
      </c>
      <c r="N5" s="25"/>
      <c r="O5" s="25"/>
      <c r="P5" s="25"/>
    </row>
    <row r="6" spans="1:16" x14ac:dyDescent="0.25">
      <c r="A6" s="114" t="s">
        <v>262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119"/>
      <c r="N6" s="25"/>
      <c r="O6" s="25"/>
      <c r="P6" s="25"/>
    </row>
    <row r="7" spans="1:16" x14ac:dyDescent="0.25">
      <c r="A7" s="82" t="s">
        <v>263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25"/>
      <c r="O7" s="25"/>
      <c r="P7" s="25"/>
    </row>
    <row r="8" spans="1:16" x14ac:dyDescent="0.25">
      <c r="A8" s="82" t="s">
        <v>264</v>
      </c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25"/>
      <c r="O8" s="25"/>
      <c r="P8" s="25"/>
    </row>
    <row r="9" spans="1:16" x14ac:dyDescent="0.25">
      <c r="A9" s="82" t="s">
        <v>265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25"/>
      <c r="O9" s="25"/>
      <c r="P9" s="25"/>
    </row>
    <row r="10" spans="1:16" x14ac:dyDescent="0.25">
      <c r="A10" s="114" t="s">
        <v>116</v>
      </c>
      <c r="B10" s="122"/>
      <c r="C10" s="113"/>
      <c r="D10" s="113"/>
      <c r="E10" s="115"/>
      <c r="F10" s="115"/>
      <c r="G10" s="115"/>
      <c r="H10" s="115"/>
      <c r="I10" s="115"/>
      <c r="J10" s="115"/>
      <c r="K10" s="115"/>
      <c r="L10" s="115"/>
      <c r="M10" s="115"/>
      <c r="N10" s="25"/>
      <c r="O10" s="25"/>
      <c r="P10" s="25"/>
    </row>
    <row r="11" spans="1:16" x14ac:dyDescent="0.25">
      <c r="A11" s="114" t="s">
        <v>266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121"/>
      <c r="N11" s="25"/>
      <c r="O11" s="25"/>
      <c r="P11" s="25"/>
    </row>
    <row r="12" spans="1:16" x14ac:dyDescent="0.25">
      <c r="A12" s="50" t="s">
        <v>263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25"/>
      <c r="O12" s="25"/>
      <c r="P12" s="25"/>
    </row>
    <row r="13" spans="1:16" x14ac:dyDescent="0.25">
      <c r="A13" s="50" t="s">
        <v>264</v>
      </c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25"/>
      <c r="O13" s="25"/>
      <c r="P13" s="25"/>
    </row>
    <row r="14" spans="1:16" x14ac:dyDescent="0.25">
      <c r="A14" s="50" t="s">
        <v>265</v>
      </c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25"/>
      <c r="O14" s="25"/>
      <c r="P14" s="25"/>
    </row>
    <row r="15" spans="1:16" x14ac:dyDescent="0.25">
      <c r="A15" s="60" t="s">
        <v>116</v>
      </c>
      <c r="B15" s="123"/>
      <c r="C15" s="102"/>
      <c r="D15" s="102"/>
      <c r="E15" s="103"/>
      <c r="F15" s="103"/>
      <c r="G15" s="103"/>
      <c r="H15" s="103"/>
      <c r="I15" s="103"/>
      <c r="J15" s="103"/>
      <c r="K15" s="103"/>
      <c r="L15" s="103"/>
      <c r="M15" s="103"/>
      <c r="N15" s="25"/>
      <c r="O15" s="25"/>
      <c r="P15" s="25"/>
    </row>
    <row r="16" spans="1:16" s="79" customFormat="1" x14ac:dyDescent="0.25">
      <c r="A16" s="60" t="s">
        <v>991</v>
      </c>
      <c r="B16" s="102">
        <f>'טבלה 1 - התקציב הרגיל'!B6</f>
        <v>13500</v>
      </c>
      <c r="C16" s="102">
        <f>'טבלה 1 - התקציב הרגיל'!C6</f>
        <v>14527</v>
      </c>
      <c r="D16" s="102">
        <f>'טבלה 1 - התקציב הרגיל'!F6</f>
        <v>6990</v>
      </c>
      <c r="E16" s="102">
        <f>'טבלה 1 - התקציב הרגיל'!G6</f>
        <v>13500</v>
      </c>
      <c r="F16" s="102"/>
      <c r="G16" s="102">
        <f>'טבלה 1 - התקציב הרגיל'!H6</f>
        <v>14611</v>
      </c>
      <c r="H16" s="102">
        <f>J16-G16</f>
        <v>2506</v>
      </c>
      <c r="I16" s="102"/>
      <c r="J16" s="102">
        <f>'טבלה 1 - התקציב הרגיל'!K6</f>
        <v>17117</v>
      </c>
      <c r="K16" s="102">
        <f>M16-J16</f>
        <v>760</v>
      </c>
      <c r="L16" s="102"/>
      <c r="M16" s="102">
        <f>'טבלה 1 - התקציב הרגיל'!M6</f>
        <v>17877</v>
      </c>
      <c r="N16" s="25"/>
      <c r="O16" s="25"/>
      <c r="P16" s="25"/>
    </row>
    <row r="17" spans="1:16" x14ac:dyDescent="0.25">
      <c r="A17" s="117" t="s">
        <v>267</v>
      </c>
      <c r="B17" s="102">
        <f>'טבלה 1 - התקציב הרגיל'!B8+'טבלה 1 - התקציב הרגיל'!B9+'טבלה 1 - התקציב הרגיל'!B10</f>
        <v>3523</v>
      </c>
      <c r="C17" s="102">
        <f>'טבלה 1 - התקציב הרגיל'!C8+'טבלה 1 - התקציב הרגיל'!C9+'טבלה 1 - התקציב הרגיל'!C10</f>
        <v>6293</v>
      </c>
      <c r="D17" s="102"/>
      <c r="E17" s="102">
        <f>'טבלה 1 - התקציב הרגיל'!G8+'טבלה 1 - התקציב הרגיל'!G9+'טבלה 1 - התקציב הרגיל'!G10</f>
        <v>3523</v>
      </c>
      <c r="F17" s="102"/>
      <c r="G17" s="102">
        <f>'טבלה 1 - התקציב הרגיל'!H8+'טבלה 1 - התקציב הרגיל'!H9+'טבלה 1 - התקציב הרגיל'!H10</f>
        <v>3296</v>
      </c>
      <c r="H17" s="102">
        <f>J17-G17</f>
        <v>255</v>
      </c>
      <c r="I17" s="102"/>
      <c r="J17" s="102">
        <f>'טבלה 1 - התקציב הרגיל'!K8+'טבלה 1 - התקציב הרגיל'!K9+'טבלה 1 - התקציב הרגיל'!K10</f>
        <v>3551</v>
      </c>
      <c r="K17" s="102">
        <f>M17-J17</f>
        <v>39</v>
      </c>
      <c r="L17" s="102"/>
      <c r="M17" s="102">
        <f>'טבלה 1 - התקציב הרגיל'!M8+'טבלה 1 - התקציב הרגיל'!M9+'טבלה 1 - התקציב הרגיל'!M10</f>
        <v>3590</v>
      </c>
      <c r="N17" s="25"/>
      <c r="O17" s="25"/>
      <c r="P17" s="25"/>
    </row>
    <row r="18" spans="1:16" s="79" customFormat="1" x14ac:dyDescent="0.25">
      <c r="A18" s="118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20"/>
      <c r="N18" s="25"/>
      <c r="O18" s="25"/>
      <c r="P18" s="25"/>
    </row>
    <row r="19" spans="1:16" s="29" customFormat="1" x14ac:dyDescent="0.25">
      <c r="A19" s="117" t="s">
        <v>268</v>
      </c>
      <c r="B19" s="102">
        <f>'טבלה 1 - התקציב הרגיל'!B13</f>
        <v>4151</v>
      </c>
      <c r="C19" s="102">
        <f>'טבלה 1 - התקציב הרגיל'!C13</f>
        <v>6105</v>
      </c>
      <c r="D19" s="102"/>
      <c r="E19" s="102">
        <f>'טבלה 1 - התקציב הרגיל'!G13</f>
        <v>4151</v>
      </c>
      <c r="F19" s="102"/>
      <c r="G19" s="102">
        <f>'טבלה 1 - התקציב הרגיל'!H13</f>
        <v>5833</v>
      </c>
      <c r="H19" s="102">
        <f>J19-G19</f>
        <v>-224</v>
      </c>
      <c r="I19" s="102"/>
      <c r="J19" s="102">
        <f>'טבלה 1 - התקציב הרגיל'!K13</f>
        <v>5609</v>
      </c>
      <c r="K19" s="102">
        <f>M19-J19</f>
        <v>0</v>
      </c>
      <c r="L19" s="102"/>
      <c r="M19" s="102">
        <f>'טבלה 1 - התקציב הרגיל'!M13</f>
        <v>5609</v>
      </c>
      <c r="N19" s="77"/>
      <c r="O19" s="77"/>
      <c r="P19" s="77"/>
    </row>
    <row r="20" spans="1:16" s="79" customFormat="1" x14ac:dyDescent="0.25">
      <c r="A20" s="118"/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20"/>
      <c r="N20" s="25"/>
      <c r="O20" s="25"/>
      <c r="P20" s="25"/>
    </row>
    <row r="21" spans="1:16" s="29" customFormat="1" x14ac:dyDescent="0.25">
      <c r="A21" s="117" t="s">
        <v>269</v>
      </c>
      <c r="B21" s="102">
        <f>'טבלה 1 - התקציב הרגיל'!B12</f>
        <v>14479</v>
      </c>
      <c r="C21" s="102">
        <f>'טבלה 1 - התקציב הרגיל'!C12</f>
        <v>16122</v>
      </c>
      <c r="D21" s="102"/>
      <c r="E21" s="102">
        <f>'טבלה 1 - התקציב הרגיל'!G12</f>
        <v>14479</v>
      </c>
      <c r="F21" s="102"/>
      <c r="G21" s="102">
        <f>'טבלה 1 - התקציב הרגיל'!H12</f>
        <v>17315</v>
      </c>
      <c r="H21" s="102">
        <f>J21-G21</f>
        <v>1272</v>
      </c>
      <c r="I21" s="102"/>
      <c r="J21" s="102">
        <f>'טבלה 1 - התקציב הרגיל'!K12</f>
        <v>18587</v>
      </c>
      <c r="K21" s="102">
        <f>M21-J21</f>
        <v>-1496</v>
      </c>
      <c r="L21" s="102"/>
      <c r="M21" s="102">
        <f>'טבלה 1 - התקציב הרגיל'!M12</f>
        <v>17091</v>
      </c>
      <c r="N21" s="77"/>
      <c r="O21" s="77"/>
      <c r="P21" s="77"/>
    </row>
    <row r="22" spans="1:16" s="79" customFormat="1" x14ac:dyDescent="0.25">
      <c r="A22" s="118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20"/>
      <c r="N22" s="25"/>
      <c r="O22" s="25"/>
      <c r="P22" s="25"/>
    </row>
    <row r="23" spans="1:16" s="29" customFormat="1" x14ac:dyDescent="0.25">
      <c r="A23" s="117" t="s">
        <v>270</v>
      </c>
      <c r="B23" s="102">
        <f>'טבלה 1 - התקציב הרגיל'!B14</f>
        <v>821</v>
      </c>
      <c r="C23" s="102">
        <f>'טבלה 1 - התקציב הרגיל'!C14</f>
        <v>2413</v>
      </c>
      <c r="D23" s="102"/>
      <c r="E23" s="102">
        <f>'טבלה 1 - התקציב הרגיל'!G14</f>
        <v>821</v>
      </c>
      <c r="F23" s="102"/>
      <c r="G23" s="102">
        <f>'טבלה 1 - התקציב הרגיל'!H14</f>
        <v>1069</v>
      </c>
      <c r="H23" s="102">
        <f>J23-G23</f>
        <v>-310</v>
      </c>
      <c r="I23" s="102"/>
      <c r="J23" s="102">
        <f>'טבלה 1 - התקציב הרגיל'!K14</f>
        <v>759</v>
      </c>
      <c r="K23" s="102">
        <f>M23-J23</f>
        <v>0</v>
      </c>
      <c r="L23" s="102"/>
      <c r="M23" s="102">
        <f>'טבלה 1 - התקציב הרגיל'!M14</f>
        <v>759</v>
      </c>
      <c r="N23" s="77"/>
      <c r="O23" s="77"/>
      <c r="P23" s="77"/>
    </row>
    <row r="24" spans="1:16" s="79" customFormat="1" x14ac:dyDescent="0.25">
      <c r="A24" s="118"/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20"/>
      <c r="N24" s="25"/>
      <c r="O24" s="25"/>
      <c r="P24" s="25"/>
    </row>
    <row r="25" spans="1:16" s="29" customFormat="1" x14ac:dyDescent="0.25">
      <c r="A25" s="117" t="s">
        <v>271</v>
      </c>
      <c r="B25" s="102">
        <f>'טבלה 1 - התקציב הרגיל'!B15</f>
        <v>8439</v>
      </c>
      <c r="C25" s="102">
        <f>'טבלה 1 - התקציב הרגיל'!C15</f>
        <v>10167</v>
      </c>
      <c r="D25" s="102"/>
      <c r="E25" s="102">
        <f>'טבלה 1 - התקציב הרגיל'!G15</f>
        <v>8439</v>
      </c>
      <c r="F25" s="102"/>
      <c r="G25" s="102">
        <f>'טבלה 1 - התקציב הרגיל'!H15</f>
        <v>10459</v>
      </c>
      <c r="H25" s="102">
        <f>J25-G25</f>
        <v>87</v>
      </c>
      <c r="I25" s="102"/>
      <c r="J25" s="102">
        <f>'טבלה 1 - התקציב הרגיל'!K15</f>
        <v>10546</v>
      </c>
      <c r="K25" s="102">
        <f>M25-J25</f>
        <v>0</v>
      </c>
      <c r="L25" s="102"/>
      <c r="M25" s="102">
        <f>'טבלה 1 - התקציב הרגיל'!M15</f>
        <v>10546</v>
      </c>
      <c r="N25" s="77"/>
      <c r="O25" s="77"/>
      <c r="P25" s="77"/>
    </row>
    <row r="26" spans="1:16" s="79" customFormat="1" x14ac:dyDescent="0.25">
      <c r="A26" s="118"/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20"/>
      <c r="N26" s="25"/>
      <c r="O26" s="25"/>
      <c r="P26" s="25"/>
    </row>
    <row r="27" spans="1:16" s="29" customFormat="1" x14ac:dyDescent="0.25">
      <c r="A27" s="117" t="s">
        <v>272</v>
      </c>
      <c r="B27" s="102">
        <f>'טבלה 1 - התקציב הרגיל'!B16</f>
        <v>0</v>
      </c>
      <c r="C27" s="102">
        <f>'טבלה 1 - התקציב הרגיל'!C16</f>
        <v>0</v>
      </c>
      <c r="D27" s="102"/>
      <c r="E27" s="102">
        <f>'טבלה 1 - התקציב הרגיל'!G16</f>
        <v>0</v>
      </c>
      <c r="F27" s="102"/>
      <c r="G27" s="102">
        <f>'טבלה 1 - התקציב הרגיל'!H16</f>
        <v>1688</v>
      </c>
      <c r="H27" s="102">
        <f>J27-G27</f>
        <v>-1345</v>
      </c>
      <c r="I27" s="102"/>
      <c r="J27" s="102">
        <f>'טבלה 1 - התקציב הרגיל'!K16</f>
        <v>343</v>
      </c>
      <c r="K27" s="102">
        <f>M27-J27</f>
        <v>0</v>
      </c>
      <c r="L27" s="102"/>
      <c r="M27" s="102">
        <f>'טבלה 1 - התקציב הרגיל'!M16</f>
        <v>343</v>
      </c>
      <c r="N27" s="77"/>
      <c r="O27" s="77"/>
      <c r="P27" s="77"/>
    </row>
    <row r="28" spans="1:16" s="79" customFormat="1" x14ac:dyDescent="0.25">
      <c r="A28" s="118"/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20"/>
      <c r="N28" s="25"/>
      <c r="O28" s="25"/>
      <c r="P28" s="25"/>
    </row>
    <row r="29" spans="1:16" s="29" customFormat="1" ht="15" customHeight="1" x14ac:dyDescent="0.25">
      <c r="A29" s="117" t="s">
        <v>273</v>
      </c>
      <c r="B29" s="102">
        <f>'טבלה 1 - התקציב הרגיל'!B18</f>
        <v>0</v>
      </c>
      <c r="C29" s="102">
        <f>'טבלה 1 - התקציב הרגיל'!C18</f>
        <v>0</v>
      </c>
      <c r="D29" s="102"/>
      <c r="E29" s="102">
        <f>'טבלה 1 - התקציב הרגיל'!G18</f>
        <v>0</v>
      </c>
      <c r="F29" s="102"/>
      <c r="G29" s="102">
        <f>'טבלה 1 - התקציב הרגיל'!H18</f>
        <v>0</v>
      </c>
      <c r="H29" s="145">
        <f>J29-G29</f>
        <v>0</v>
      </c>
      <c r="I29" s="102"/>
      <c r="J29" s="102">
        <f>'טבלה 1 - התקציב הרגיל'!K18</f>
        <v>0</v>
      </c>
      <c r="K29" s="102">
        <f>M29-J29</f>
        <v>0</v>
      </c>
      <c r="L29" s="102"/>
      <c r="M29" s="102">
        <f>'טבלה 1 - התקציב הרגיל'!M18</f>
        <v>0</v>
      </c>
      <c r="N29" s="77"/>
      <c r="O29" s="77"/>
      <c r="P29" s="77"/>
    </row>
    <row r="30" spans="1:16" x14ac:dyDescent="0.25"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25"/>
      <c r="O30" s="25"/>
      <c r="P30" s="25"/>
    </row>
    <row r="31" spans="1:16" x14ac:dyDescent="0.25">
      <c r="A31" s="60" t="s">
        <v>116</v>
      </c>
      <c r="B31" s="103">
        <f t="shared" ref="B31:M31" si="0">B10+B15+B17+B19+B21+B23+B25+B27+B29</f>
        <v>31413</v>
      </c>
      <c r="C31" s="103">
        <f t="shared" si="0"/>
        <v>41100</v>
      </c>
      <c r="D31" s="103">
        <f t="shared" si="0"/>
        <v>0</v>
      </c>
      <c r="E31" s="103">
        <f t="shared" si="0"/>
        <v>31413</v>
      </c>
      <c r="F31" s="103">
        <f t="shared" si="0"/>
        <v>0</v>
      </c>
      <c r="G31" s="103">
        <f t="shared" si="0"/>
        <v>39660</v>
      </c>
      <c r="H31" s="103">
        <f t="shared" si="0"/>
        <v>-265</v>
      </c>
      <c r="I31" s="103"/>
      <c r="J31" s="103"/>
      <c r="K31" s="103">
        <f t="shared" si="0"/>
        <v>-1457</v>
      </c>
      <c r="L31" s="103">
        <f t="shared" si="0"/>
        <v>0</v>
      </c>
      <c r="M31" s="103">
        <f t="shared" si="0"/>
        <v>37938</v>
      </c>
      <c r="N31" s="25"/>
      <c r="O31" s="25"/>
      <c r="P31" s="25"/>
    </row>
    <row r="32" spans="1:16" x14ac:dyDescent="0.25">
      <c r="N32" s="25"/>
      <c r="O32" s="25"/>
      <c r="P32" s="25"/>
    </row>
    <row r="33" spans="1:16" x14ac:dyDescent="0.25">
      <c r="N33" s="25"/>
      <c r="O33" s="25"/>
      <c r="P33" s="25"/>
    </row>
    <row r="34" spans="1:16" x14ac:dyDescent="0.25">
      <c r="N34" s="25"/>
      <c r="O34" s="25"/>
      <c r="P34" s="25"/>
    </row>
    <row r="35" spans="1:16" x14ac:dyDescent="0.25">
      <c r="A35" s="79"/>
      <c r="N35" s="25"/>
      <c r="O35" s="25"/>
      <c r="P35" s="25"/>
    </row>
    <row r="36" spans="1:16" x14ac:dyDescent="0.25">
      <c r="A36" s="69" t="s">
        <v>274</v>
      </c>
      <c r="N36" s="25"/>
      <c r="O36" s="25"/>
      <c r="P36" s="25"/>
    </row>
    <row r="37" spans="1:16" x14ac:dyDescent="0.25">
      <c r="A37" s="51" t="s">
        <v>275</v>
      </c>
      <c r="N37" s="25"/>
      <c r="O37" s="25"/>
      <c r="P37" s="25"/>
    </row>
    <row r="38" spans="1:16" x14ac:dyDescent="0.25">
      <c r="A38" s="51" t="s">
        <v>276</v>
      </c>
      <c r="N38" s="25"/>
      <c r="O38" s="25"/>
      <c r="P38" s="25"/>
    </row>
    <row r="39" spans="1:16" x14ac:dyDescent="0.25">
      <c r="A39" s="51" t="s">
        <v>277</v>
      </c>
      <c r="N39" s="25"/>
      <c r="O39" s="25"/>
      <c r="P39" s="25"/>
    </row>
    <row r="40" spans="1:16" x14ac:dyDescent="0.25">
      <c r="A40" s="51" t="s">
        <v>278</v>
      </c>
      <c r="N40" s="25"/>
      <c r="O40" s="25"/>
      <c r="P40" s="25"/>
    </row>
    <row r="41" spans="1:16" x14ac:dyDescent="0.25">
      <c r="A41" s="51" t="s">
        <v>279</v>
      </c>
      <c r="N41" s="25"/>
      <c r="O41" s="25"/>
      <c r="P41" s="25"/>
    </row>
    <row r="42" spans="1:16" x14ac:dyDescent="0.25">
      <c r="A42" s="51" t="s">
        <v>280</v>
      </c>
      <c r="N42" s="25"/>
      <c r="O42" s="25"/>
      <c r="P42" s="25"/>
    </row>
    <row r="43" spans="1:16" x14ac:dyDescent="0.25">
      <c r="A43" s="51" t="s">
        <v>281</v>
      </c>
      <c r="N43" s="25"/>
      <c r="O43" s="25"/>
      <c r="P43" s="25"/>
    </row>
    <row r="44" spans="1:16" x14ac:dyDescent="0.25">
      <c r="N44" s="25"/>
      <c r="O44" s="25"/>
      <c r="P44" s="25"/>
    </row>
    <row r="45" spans="1:16" x14ac:dyDescent="0.25">
      <c r="A45" s="83" t="s">
        <v>282</v>
      </c>
      <c r="N45" s="25"/>
      <c r="O45" s="25"/>
      <c r="P45" s="25"/>
    </row>
    <row r="46" spans="1:16" ht="66" customHeight="1" x14ac:dyDescent="0.25">
      <c r="A46" s="83"/>
      <c r="N46" s="25"/>
      <c r="O46" s="25"/>
      <c r="P46" s="25"/>
    </row>
    <row r="47" spans="1:16" x14ac:dyDescent="0.25">
      <c r="A47" s="79"/>
      <c r="B47" s="80"/>
      <c r="C47" s="29"/>
      <c r="D47" s="29"/>
      <c r="E47" s="29"/>
      <c r="F47" s="80"/>
      <c r="G47" s="29"/>
      <c r="H47" s="29"/>
      <c r="I47" s="29"/>
      <c r="J47" s="29"/>
      <c r="K47" s="29"/>
      <c r="L47" s="29"/>
      <c r="N47" s="25"/>
      <c r="O47" s="25"/>
      <c r="P47" s="25"/>
    </row>
    <row r="48" spans="1:16" x14ac:dyDescent="0.25">
      <c r="A48" s="79"/>
      <c r="B48" s="78" t="s">
        <v>60</v>
      </c>
      <c r="C48" s="30"/>
      <c r="D48" s="30"/>
      <c r="E48" s="30"/>
      <c r="F48" s="78" t="s">
        <v>61</v>
      </c>
      <c r="G48" s="30"/>
      <c r="H48" s="30"/>
      <c r="I48" s="30"/>
      <c r="J48" s="30"/>
      <c r="K48" s="30"/>
      <c r="L48" s="30"/>
      <c r="M48" s="65"/>
      <c r="N48" s="25"/>
      <c r="O48" s="25"/>
      <c r="P48" s="25"/>
    </row>
    <row r="49" spans="1:16" x14ac:dyDescent="0.25">
      <c r="A49" s="25"/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25"/>
      <c r="N49" s="25"/>
      <c r="O49" s="25"/>
      <c r="P49" s="25"/>
    </row>
    <row r="50" spans="1:16" x14ac:dyDescent="0.25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</row>
    <row r="51" spans="1:16" x14ac:dyDescent="0.25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</row>
    <row r="52" spans="1:16" x14ac:dyDescent="0.25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</row>
    <row r="53" spans="1:16" x14ac:dyDescent="0.25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</row>
    <row r="54" spans="1:16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</row>
    <row r="55" spans="1:16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</row>
    <row r="56" spans="1:16" x14ac:dyDescent="0.25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</row>
    <row r="57" spans="1:16" x14ac:dyDescent="0.25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</row>
  </sheetData>
  <mergeCells count="1">
    <mergeCell ref="A3:N3"/>
  </mergeCells>
  <phoneticPr fontId="0" type="noConversion"/>
  <pageMargins left="0.23622047244094491" right="0.15748031496062992" top="0.39370078740157483" bottom="0.74803149606299213" header="0.31496062992125984" footer="0.31496062992125984"/>
  <pageSetup paperSize="9" scale="63" orientation="landscape" r:id="rId1"/>
  <headerFooter alignWithMargins="0">
    <oddFooter>&amp;L&amp;"David,מודגש"&amp;12&amp;P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L33"/>
  <sheetViews>
    <sheetView showGridLines="0" rightToLeft="1" view="pageBreakPreview" zoomScale="60" zoomScaleNormal="100" workbookViewId="0">
      <selection activeCell="G7" sqref="G7"/>
    </sheetView>
  </sheetViews>
  <sheetFormatPr defaultRowHeight="15.75" x14ac:dyDescent="0.25"/>
  <cols>
    <col min="1" max="1" width="46.85546875" style="49" bestFit="1" customWidth="1"/>
    <col min="2" max="2" width="15.5703125" style="49" customWidth="1"/>
    <col min="3" max="3" width="11.85546875" style="49" customWidth="1"/>
    <col min="4" max="4" width="19.140625" style="49" customWidth="1"/>
    <col min="5" max="5" width="10" style="49" customWidth="1"/>
    <col min="6" max="6" width="13.140625" style="49" customWidth="1"/>
    <col min="7" max="16384" width="9.140625" style="49"/>
  </cols>
  <sheetData>
    <row r="1" spans="1:12" x14ac:dyDescent="0.25">
      <c r="F1" s="49" t="s">
        <v>236</v>
      </c>
      <c r="G1" s="29" t="str">
        <f>'נספח 8-הכנסות'!L2</f>
        <v>מועצה מקומית עוספייה</v>
      </c>
      <c r="I1" s="25"/>
      <c r="J1" s="25"/>
      <c r="K1" s="25"/>
    </row>
    <row r="2" spans="1:12" x14ac:dyDescent="0.25">
      <c r="A2" s="584" t="s">
        <v>283</v>
      </c>
      <c r="B2" s="584"/>
      <c r="C2" s="584"/>
      <c r="D2" s="584"/>
      <c r="E2" s="584"/>
      <c r="F2" s="584"/>
      <c r="G2" s="584"/>
      <c r="H2" s="584"/>
      <c r="I2" s="25"/>
      <c r="J2" s="25"/>
      <c r="K2" s="25"/>
      <c r="L2" s="143"/>
    </row>
    <row r="3" spans="1:12" x14ac:dyDescent="0.25">
      <c r="I3" s="25"/>
      <c r="J3" s="25"/>
      <c r="K3" s="25"/>
    </row>
    <row r="4" spans="1:12" s="85" customFormat="1" ht="47.25" x14ac:dyDescent="0.25">
      <c r="A4" s="142" t="s">
        <v>284</v>
      </c>
      <c r="B4" s="141" t="s">
        <v>238</v>
      </c>
      <c r="C4" s="141" t="s">
        <v>1016</v>
      </c>
      <c r="D4" s="141" t="s">
        <v>1017</v>
      </c>
      <c r="E4" s="141" t="s">
        <v>1004</v>
      </c>
      <c r="F4" s="141" t="s">
        <v>110</v>
      </c>
      <c r="G4" s="141" t="s">
        <v>1005</v>
      </c>
      <c r="H4" s="141" t="s">
        <v>83</v>
      </c>
      <c r="I4" s="25"/>
      <c r="J4" s="25"/>
      <c r="K4" s="25"/>
    </row>
    <row r="5" spans="1:12" x14ac:dyDescent="0.25">
      <c r="A5" s="87"/>
      <c r="B5" s="86"/>
      <c r="C5" s="86"/>
      <c r="D5" s="86"/>
      <c r="E5" s="86"/>
      <c r="F5" s="86"/>
      <c r="G5" s="86"/>
      <c r="H5" s="86"/>
      <c r="I5" s="25"/>
      <c r="J5" s="25"/>
      <c r="K5" s="25"/>
    </row>
    <row r="6" spans="1:12" x14ac:dyDescent="0.25">
      <c r="A6" s="581" t="s">
        <v>285</v>
      </c>
      <c r="B6" s="582"/>
      <c r="C6" s="582"/>
      <c r="D6" s="582"/>
      <c r="E6" s="582"/>
      <c r="F6" s="582"/>
      <c r="G6" s="582"/>
      <c r="H6" s="583"/>
      <c r="I6" s="25"/>
      <c r="J6" s="25"/>
      <c r="K6" s="25"/>
    </row>
    <row r="7" spans="1:12" x14ac:dyDescent="0.25">
      <c r="A7" s="87" t="s">
        <v>286</v>
      </c>
      <c r="B7" s="146">
        <f>B9-B8</f>
        <v>732</v>
      </c>
      <c r="C7" s="146">
        <f>C9-C8</f>
        <v>386</v>
      </c>
      <c r="D7" s="146">
        <f>D9-D8</f>
        <v>732</v>
      </c>
      <c r="E7" s="146">
        <f>E9-E8</f>
        <v>485</v>
      </c>
      <c r="F7" s="146">
        <f>F9-F8</f>
        <v>235</v>
      </c>
      <c r="G7" s="146">
        <v>0</v>
      </c>
      <c r="H7" s="86"/>
      <c r="I7" s="25"/>
      <c r="J7" s="25"/>
      <c r="K7" s="25"/>
    </row>
    <row r="8" spans="1:12" x14ac:dyDescent="0.25">
      <c r="A8" s="87" t="s">
        <v>287</v>
      </c>
      <c r="B8" s="146">
        <v>2257</v>
      </c>
      <c r="C8" s="146">
        <v>2179</v>
      </c>
      <c r="D8" s="146">
        <v>2257</v>
      </c>
      <c r="E8" s="146">
        <v>2043</v>
      </c>
      <c r="F8" s="146">
        <f>'טבלה 1 - התקציב הרגיל'!H38</f>
        <v>2043</v>
      </c>
      <c r="G8" s="146"/>
      <c r="H8" s="86"/>
      <c r="I8" s="25"/>
      <c r="J8" s="25"/>
      <c r="K8" s="25"/>
    </row>
    <row r="9" spans="1:12" x14ac:dyDescent="0.25">
      <c r="A9" s="148" t="s">
        <v>288</v>
      </c>
      <c r="B9" s="147">
        <v>2989</v>
      </c>
      <c r="C9" s="147">
        <v>2565</v>
      </c>
      <c r="D9" s="147">
        <v>2989</v>
      </c>
      <c r="E9" s="147">
        <v>2528</v>
      </c>
      <c r="F9" s="147">
        <v>2278</v>
      </c>
      <c r="G9" s="147">
        <f t="shared" ref="G9" si="0">SUM(G7:G8)</f>
        <v>0</v>
      </c>
      <c r="H9" s="86"/>
      <c r="I9" s="25"/>
      <c r="J9" s="25"/>
      <c r="K9" s="25"/>
    </row>
    <row r="10" spans="1:12" x14ac:dyDescent="0.25">
      <c r="A10" s="581" t="s">
        <v>289</v>
      </c>
      <c r="B10" s="582"/>
      <c r="C10" s="582"/>
      <c r="D10" s="582"/>
      <c r="E10" s="582"/>
      <c r="F10" s="582"/>
      <c r="G10" s="582"/>
      <c r="H10" s="583"/>
      <c r="I10" s="25"/>
      <c r="J10" s="25"/>
      <c r="K10" s="25"/>
    </row>
    <row r="11" spans="1:12" x14ac:dyDescent="0.25">
      <c r="A11" s="87" t="s">
        <v>290</v>
      </c>
      <c r="B11" s="149">
        <f>'נספח 2 - הרכב הכנסות עצמיות'!C26</f>
        <v>265</v>
      </c>
      <c r="C11" s="149">
        <f>'נספח 2 - הרכב הכנסות עצמיות'!D26</f>
        <v>211</v>
      </c>
      <c r="D11" s="149">
        <v>265</v>
      </c>
      <c r="E11" s="149">
        <v>210</v>
      </c>
      <c r="F11" s="149">
        <v>15</v>
      </c>
      <c r="G11" s="149">
        <v>0</v>
      </c>
      <c r="H11" s="86"/>
      <c r="I11" s="25"/>
      <c r="J11" s="25"/>
      <c r="K11" s="25"/>
    </row>
    <row r="12" spans="1:12" x14ac:dyDescent="0.25">
      <c r="A12" s="87" t="s">
        <v>291</v>
      </c>
      <c r="B12" s="149">
        <v>0</v>
      </c>
      <c r="C12" s="149">
        <f>'נספח 2 - הרכב הכנסות עצמיות'!D22</f>
        <v>0</v>
      </c>
      <c r="D12" s="149">
        <f>'נספח 2 - הרכב הכנסות עצמיות'!F22</f>
        <v>0</v>
      </c>
      <c r="E12" s="149">
        <v>0</v>
      </c>
      <c r="F12" s="149">
        <f>'נספח 2 - הרכב הכנסות עצמיות'!G22</f>
        <v>0</v>
      </c>
      <c r="G12" s="149">
        <v>0</v>
      </c>
      <c r="H12" s="86"/>
      <c r="I12" s="25"/>
      <c r="J12" s="25"/>
      <c r="K12" s="25"/>
    </row>
    <row r="13" spans="1:12" x14ac:dyDescent="0.25">
      <c r="A13" s="148" t="s">
        <v>292</v>
      </c>
      <c r="B13" s="150">
        <f t="shared" ref="B13:G13" si="1">SUM(B11,B12)</f>
        <v>265</v>
      </c>
      <c r="C13" s="150">
        <f t="shared" si="1"/>
        <v>211</v>
      </c>
      <c r="D13" s="150">
        <f>SUM(D11,D12)</f>
        <v>265</v>
      </c>
      <c r="E13" s="150">
        <f t="shared" si="1"/>
        <v>210</v>
      </c>
      <c r="F13" s="150">
        <f t="shared" si="1"/>
        <v>15</v>
      </c>
      <c r="G13" s="150">
        <f t="shared" si="1"/>
        <v>0</v>
      </c>
      <c r="H13" s="144"/>
      <c r="I13" s="25"/>
      <c r="J13" s="25"/>
      <c r="K13" s="25"/>
    </row>
    <row r="14" spans="1:12" hidden="1" x14ac:dyDescent="0.25">
      <c r="A14" s="87"/>
      <c r="B14" s="149"/>
      <c r="C14" s="149"/>
      <c r="D14" s="149"/>
      <c r="E14" s="149"/>
      <c r="F14" s="149"/>
      <c r="G14" s="149"/>
      <c r="H14" s="86"/>
      <c r="I14" s="25"/>
      <c r="J14" s="25"/>
      <c r="K14" s="25"/>
    </row>
    <row r="15" spans="1:12" x14ac:dyDescent="0.25">
      <c r="A15" s="148" t="s">
        <v>303</v>
      </c>
      <c r="B15" s="150">
        <f t="shared" ref="B15:G15" si="2">B13-B9</f>
        <v>-2724</v>
      </c>
      <c r="C15" s="150">
        <f t="shared" si="2"/>
        <v>-2354</v>
      </c>
      <c r="D15" s="150">
        <f t="shared" si="2"/>
        <v>-2724</v>
      </c>
      <c r="E15" s="150">
        <f t="shared" si="2"/>
        <v>-2318</v>
      </c>
      <c r="F15" s="150">
        <f t="shared" si="2"/>
        <v>-2263</v>
      </c>
      <c r="G15" s="150">
        <f t="shared" si="2"/>
        <v>0</v>
      </c>
      <c r="H15" s="144"/>
      <c r="I15" s="25"/>
      <c r="J15" s="25"/>
      <c r="K15" s="25"/>
    </row>
    <row r="16" spans="1:12" x14ac:dyDescent="0.25">
      <c r="I16" s="25"/>
      <c r="J16" s="25"/>
      <c r="K16" s="25"/>
    </row>
    <row r="17" spans="1:11" x14ac:dyDescent="0.25">
      <c r="I17" s="25"/>
      <c r="J17" s="25"/>
      <c r="K17" s="25"/>
    </row>
    <row r="18" spans="1:11" x14ac:dyDescent="0.25">
      <c r="I18" s="25"/>
      <c r="J18" s="25"/>
      <c r="K18" s="25"/>
    </row>
    <row r="19" spans="1:11" x14ac:dyDescent="0.25">
      <c r="I19" s="25"/>
      <c r="J19" s="25"/>
      <c r="K19" s="25"/>
    </row>
    <row r="20" spans="1:11" x14ac:dyDescent="0.25">
      <c r="I20" s="25"/>
      <c r="J20" s="25"/>
      <c r="K20" s="25"/>
    </row>
    <row r="21" spans="1:11" x14ac:dyDescent="0.25">
      <c r="I21" s="25"/>
      <c r="J21" s="25"/>
      <c r="K21" s="25"/>
    </row>
    <row r="22" spans="1:11" x14ac:dyDescent="0.25">
      <c r="I22" s="25"/>
      <c r="J22" s="25"/>
      <c r="K22" s="25"/>
    </row>
    <row r="23" spans="1:11" x14ac:dyDescent="0.25">
      <c r="A23" s="29"/>
      <c r="B23" s="29"/>
      <c r="C23" s="29"/>
      <c r="D23" s="29"/>
      <c r="E23" s="29"/>
      <c r="F23" s="29"/>
      <c r="G23" s="29"/>
      <c r="I23" s="25"/>
      <c r="J23" s="25"/>
      <c r="K23" s="25"/>
    </row>
    <row r="24" spans="1:11" x14ac:dyDescent="0.25">
      <c r="A24" s="80"/>
      <c r="B24" s="29"/>
      <c r="C24" s="29"/>
      <c r="D24" s="29"/>
      <c r="E24" s="80"/>
      <c r="F24" s="80"/>
      <c r="G24" s="80"/>
      <c r="I24" s="25"/>
      <c r="J24" s="25"/>
      <c r="K24" s="25"/>
    </row>
    <row r="25" spans="1:11" x14ac:dyDescent="0.25">
      <c r="A25" s="79"/>
      <c r="C25" s="78" t="s">
        <v>60</v>
      </c>
      <c r="D25" s="30"/>
      <c r="E25" s="78" t="s">
        <v>61</v>
      </c>
      <c r="F25" s="30"/>
      <c r="G25" s="78" t="s">
        <v>63</v>
      </c>
      <c r="I25" s="25"/>
      <c r="J25" s="25"/>
      <c r="K25" s="25"/>
    </row>
    <row r="26" spans="1:11" x14ac:dyDescent="0.25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</row>
    <row r="27" spans="1:11" x14ac:dyDescent="0.25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</row>
    <row r="28" spans="1:11" x14ac:dyDescent="0.25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</row>
    <row r="29" spans="1:11" x14ac:dyDescent="0.25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</row>
    <row r="30" spans="1:11" x14ac:dyDescent="0.25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</row>
    <row r="31" spans="1:11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</row>
    <row r="32" spans="1:11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</row>
    <row r="33" spans="1:11" x14ac:dyDescent="0.2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</row>
  </sheetData>
  <mergeCells count="3">
    <mergeCell ref="A2:H2"/>
    <mergeCell ref="A6:H6"/>
    <mergeCell ref="A10:H10"/>
  </mergeCells>
  <phoneticPr fontId="0" type="noConversion"/>
  <pageMargins left="0.23622047244094491" right="0.15748031496062992" top="0.39370078740157483" bottom="0.74803149606299213" header="0.31496062992125984" footer="0.31496062992125984"/>
  <pageSetup paperSize="9" scale="90" orientation="landscape" r:id="rId1"/>
  <headerFooter alignWithMargins="0">
    <oddFooter>&amp;L&amp;"David,מודגש"&amp;12&amp;P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L39"/>
  <sheetViews>
    <sheetView showGridLines="0" rightToLeft="1" view="pageBreakPreview" zoomScale="60" zoomScaleNormal="100" workbookViewId="0">
      <selection activeCell="B8" sqref="B8"/>
    </sheetView>
  </sheetViews>
  <sheetFormatPr defaultRowHeight="15.75" x14ac:dyDescent="0.25"/>
  <cols>
    <col min="1" max="1" width="7" style="49" customWidth="1"/>
    <col min="2" max="2" width="16.7109375" style="49" customWidth="1"/>
    <col min="3" max="3" width="3.85546875" style="49" customWidth="1"/>
    <col min="4" max="4" width="12.5703125" style="49" customWidth="1"/>
    <col min="5" max="5" width="4.140625" style="49" customWidth="1"/>
    <col min="6" max="6" width="13.28515625" style="49" customWidth="1"/>
    <col min="7" max="7" width="4.140625" style="49" customWidth="1"/>
    <col min="8" max="8" width="12.5703125" style="49" customWidth="1"/>
    <col min="9" max="9" width="3.28515625" style="49" customWidth="1"/>
    <col min="10" max="10" width="11.140625" style="49" bestFit="1" customWidth="1"/>
    <col min="11" max="11" width="9.140625" style="49"/>
    <col min="12" max="12" width="12.5703125" style="49" customWidth="1"/>
    <col min="13" max="16384" width="9.140625" style="49"/>
  </cols>
  <sheetData>
    <row r="1" spans="1:12" x14ac:dyDescent="0.25">
      <c r="I1" s="25"/>
      <c r="J1" s="25"/>
      <c r="K1" s="25"/>
    </row>
    <row r="2" spans="1:12" ht="24" customHeight="1" x14ac:dyDescent="0.25">
      <c r="I2" s="25"/>
      <c r="J2" s="49" t="s">
        <v>236</v>
      </c>
      <c r="K2" s="29" t="str">
        <f>'נספח 9 - ביוב'!G1</f>
        <v>מועצה מקומית עוספייה</v>
      </c>
    </row>
    <row r="3" spans="1:12" ht="30" customHeight="1" x14ac:dyDescent="0.25">
      <c r="A3" s="584" t="s">
        <v>293</v>
      </c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</row>
    <row r="4" spans="1:12" ht="34.5" customHeight="1" x14ac:dyDescent="0.25">
      <c r="A4" s="79"/>
      <c r="B4" s="79"/>
      <c r="C4" s="79"/>
      <c r="D4" s="79"/>
      <c r="E4" s="79"/>
      <c r="F4" s="79"/>
      <c r="G4" s="79"/>
      <c r="H4" s="79"/>
      <c r="I4" s="25"/>
      <c r="J4" s="25"/>
      <c r="K4" s="25"/>
    </row>
    <row r="5" spans="1:12" x14ac:dyDescent="0.25">
      <c r="A5" s="141" t="s">
        <v>294</v>
      </c>
      <c r="B5" s="141" t="s">
        <v>295</v>
      </c>
      <c r="C5" s="141"/>
      <c r="D5" s="141" t="s">
        <v>296</v>
      </c>
      <c r="E5" s="141"/>
      <c r="F5" s="141" t="s">
        <v>297</v>
      </c>
      <c r="G5" s="141"/>
      <c r="H5" s="141" t="s">
        <v>298</v>
      </c>
      <c r="I5" s="25"/>
      <c r="J5" s="25"/>
      <c r="K5" s="25"/>
    </row>
    <row r="6" spans="1:12" x14ac:dyDescent="0.25">
      <c r="A6" s="60"/>
      <c r="B6" s="51"/>
      <c r="C6" s="50"/>
      <c r="D6" s="50"/>
      <c r="E6" s="50"/>
      <c r="F6" s="50"/>
      <c r="G6" s="50"/>
      <c r="H6" s="50"/>
      <c r="I6" s="25"/>
      <c r="J6" s="25"/>
      <c r="K6" s="25"/>
    </row>
    <row r="7" spans="1:12" x14ac:dyDescent="0.25">
      <c r="A7" s="60">
        <v>1</v>
      </c>
      <c r="B7" s="50" t="s">
        <v>1019</v>
      </c>
      <c r="C7" s="50"/>
      <c r="D7" s="50"/>
      <c r="E7" s="50"/>
      <c r="F7" s="50"/>
      <c r="G7" s="50"/>
      <c r="H7" s="50"/>
      <c r="I7" s="25"/>
      <c r="J7" s="25"/>
      <c r="K7" s="25"/>
    </row>
    <row r="8" spans="1:12" x14ac:dyDescent="0.25">
      <c r="A8" s="60"/>
      <c r="B8" s="50"/>
      <c r="C8" s="50"/>
      <c r="D8" s="50"/>
      <c r="E8" s="50"/>
      <c r="F8" s="50"/>
      <c r="G8" s="50"/>
      <c r="H8" s="50"/>
      <c r="I8" s="25"/>
      <c r="J8" s="25"/>
      <c r="K8" s="25"/>
    </row>
    <row r="9" spans="1:12" x14ac:dyDescent="0.25">
      <c r="A9" s="60">
        <v>2</v>
      </c>
      <c r="B9" s="50"/>
      <c r="C9" s="50"/>
      <c r="D9" s="50"/>
      <c r="E9" s="50"/>
      <c r="F9" s="50"/>
      <c r="G9" s="50"/>
      <c r="H9" s="50"/>
      <c r="I9" s="25"/>
      <c r="J9" s="25"/>
      <c r="K9" s="25"/>
    </row>
    <row r="10" spans="1:12" x14ac:dyDescent="0.25">
      <c r="A10" s="60"/>
      <c r="B10" s="50"/>
      <c r="C10" s="50"/>
      <c r="D10" s="50"/>
      <c r="E10" s="50"/>
      <c r="F10" s="50"/>
      <c r="G10" s="50"/>
      <c r="H10" s="50"/>
      <c r="I10" s="25"/>
      <c r="J10" s="25"/>
      <c r="K10" s="25"/>
    </row>
    <row r="11" spans="1:12" x14ac:dyDescent="0.25">
      <c r="A11" s="60">
        <v>3</v>
      </c>
      <c r="B11" s="50"/>
      <c r="C11" s="50"/>
      <c r="D11" s="50"/>
      <c r="E11" s="50"/>
      <c r="F11" s="50"/>
      <c r="G11" s="50"/>
      <c r="H11" s="50"/>
      <c r="I11" s="25"/>
      <c r="J11" s="25"/>
      <c r="K11" s="25"/>
    </row>
    <row r="12" spans="1:12" x14ac:dyDescent="0.25">
      <c r="A12" s="60"/>
      <c r="B12" s="50"/>
      <c r="C12" s="50"/>
      <c r="D12" s="50"/>
      <c r="E12" s="50"/>
      <c r="F12" s="50"/>
      <c r="G12" s="50"/>
      <c r="H12" s="50"/>
      <c r="I12" s="25"/>
      <c r="J12" s="25"/>
      <c r="K12" s="25"/>
    </row>
    <row r="13" spans="1:12" x14ac:dyDescent="0.25">
      <c r="A13" s="60">
        <v>4</v>
      </c>
      <c r="B13" s="50"/>
      <c r="C13" s="50"/>
      <c r="D13" s="50"/>
      <c r="E13" s="50"/>
      <c r="F13" s="50"/>
      <c r="G13" s="50"/>
      <c r="H13" s="50"/>
      <c r="I13" s="25"/>
      <c r="J13" s="25"/>
      <c r="K13" s="25"/>
    </row>
    <row r="14" spans="1:12" x14ac:dyDescent="0.25">
      <c r="A14" s="60"/>
      <c r="B14" s="50"/>
      <c r="C14" s="50"/>
      <c r="D14" s="50"/>
      <c r="E14" s="50"/>
      <c r="F14" s="50"/>
      <c r="G14" s="50"/>
      <c r="H14" s="50"/>
      <c r="I14" s="25"/>
      <c r="J14" s="25"/>
      <c r="K14" s="25"/>
    </row>
    <row r="15" spans="1:12" x14ac:dyDescent="0.25">
      <c r="A15" s="60">
        <v>5</v>
      </c>
      <c r="B15" s="50"/>
      <c r="C15" s="50"/>
      <c r="D15" s="50"/>
      <c r="E15" s="50"/>
      <c r="F15" s="50"/>
      <c r="G15" s="50"/>
      <c r="H15" s="50"/>
      <c r="I15" s="25"/>
      <c r="J15" s="25"/>
      <c r="K15" s="25"/>
    </row>
    <row r="16" spans="1:12" x14ac:dyDescent="0.25">
      <c r="A16" s="60"/>
      <c r="B16" s="50"/>
      <c r="C16" s="50"/>
      <c r="D16" s="50"/>
      <c r="E16" s="50"/>
      <c r="F16" s="50"/>
      <c r="G16" s="50"/>
      <c r="H16" s="50"/>
      <c r="I16" s="25"/>
      <c r="J16" s="25"/>
      <c r="K16" s="25"/>
    </row>
    <row r="17" spans="1:11" x14ac:dyDescent="0.25">
      <c r="A17" s="60" t="s">
        <v>116</v>
      </c>
      <c r="B17" s="50"/>
      <c r="C17" s="50"/>
      <c r="D17" s="50"/>
      <c r="E17" s="50"/>
      <c r="F17" s="50"/>
      <c r="G17" s="50"/>
      <c r="H17" s="50"/>
      <c r="I17" s="25"/>
      <c r="J17" s="25"/>
      <c r="K17" s="25"/>
    </row>
    <row r="18" spans="1:11" x14ac:dyDescent="0.25">
      <c r="I18" s="25"/>
      <c r="J18" s="25"/>
      <c r="K18" s="25"/>
    </row>
    <row r="19" spans="1:11" x14ac:dyDescent="0.25">
      <c r="A19" s="49" t="s">
        <v>299</v>
      </c>
      <c r="I19" s="25"/>
      <c r="J19" s="25"/>
      <c r="K19" s="25"/>
    </row>
    <row r="20" spans="1:11" x14ac:dyDescent="0.25">
      <c r="I20" s="25"/>
      <c r="J20" s="25"/>
      <c r="K20" s="25"/>
    </row>
    <row r="21" spans="1:11" x14ac:dyDescent="0.25">
      <c r="I21" s="25"/>
      <c r="J21" s="25"/>
      <c r="K21" s="25"/>
    </row>
    <row r="22" spans="1:11" x14ac:dyDescent="0.25">
      <c r="I22" s="25"/>
      <c r="J22" s="25"/>
      <c r="K22" s="25"/>
    </row>
    <row r="23" spans="1:11" x14ac:dyDescent="0.25">
      <c r="I23" s="25"/>
      <c r="J23" s="25"/>
      <c r="K23" s="25"/>
    </row>
    <row r="24" spans="1:11" x14ac:dyDescent="0.25">
      <c r="I24" s="25"/>
      <c r="J24" s="25"/>
      <c r="K24" s="25"/>
    </row>
    <row r="25" spans="1:11" x14ac:dyDescent="0.25">
      <c r="I25" s="25"/>
      <c r="J25" s="25"/>
      <c r="K25" s="25"/>
    </row>
    <row r="26" spans="1:11" x14ac:dyDescent="0.25">
      <c r="I26" s="25"/>
      <c r="J26" s="25"/>
      <c r="K26" s="25"/>
    </row>
    <row r="27" spans="1:11" x14ac:dyDescent="0.25">
      <c r="I27" s="25"/>
      <c r="J27" s="25"/>
      <c r="K27" s="25"/>
    </row>
    <row r="28" spans="1:11" x14ac:dyDescent="0.25">
      <c r="I28" s="25"/>
      <c r="J28" s="25"/>
      <c r="K28" s="25"/>
    </row>
    <row r="29" spans="1:11" x14ac:dyDescent="0.25">
      <c r="I29" s="25"/>
      <c r="J29" s="25"/>
      <c r="K29" s="25"/>
    </row>
    <row r="30" spans="1:11" x14ac:dyDescent="0.25">
      <c r="I30" s="25"/>
      <c r="J30" s="25"/>
      <c r="K30" s="25"/>
    </row>
    <row r="31" spans="1:11" x14ac:dyDescent="0.25">
      <c r="B31" s="80"/>
      <c r="C31" s="29"/>
      <c r="D31" s="29"/>
      <c r="E31" s="80"/>
      <c r="F31" s="29"/>
      <c r="G31" s="29"/>
      <c r="H31" s="80"/>
      <c r="I31" s="77"/>
      <c r="J31" s="25"/>
      <c r="K31" s="25"/>
    </row>
    <row r="32" spans="1:11" x14ac:dyDescent="0.25">
      <c r="B32" s="78" t="s">
        <v>60</v>
      </c>
      <c r="C32" s="30"/>
      <c r="D32" s="30"/>
      <c r="E32" s="78" t="s">
        <v>300</v>
      </c>
      <c r="F32" s="30"/>
      <c r="G32" s="30"/>
      <c r="H32" s="78" t="s">
        <v>63</v>
      </c>
      <c r="I32" s="77"/>
      <c r="J32" s="25"/>
      <c r="K32" s="25"/>
    </row>
    <row r="33" spans="1:11" x14ac:dyDescent="0.2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</row>
    <row r="34" spans="1:11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</row>
    <row r="35" spans="1:11" x14ac:dyDescent="0.2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</row>
    <row r="36" spans="1:11" x14ac:dyDescent="0.2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</row>
    <row r="37" spans="1:11" x14ac:dyDescent="0.25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</row>
    <row r="38" spans="1:11" x14ac:dyDescent="0.25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</row>
    <row r="39" spans="1:11" x14ac:dyDescent="0.2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</row>
  </sheetData>
  <mergeCells count="1">
    <mergeCell ref="A3:L3"/>
  </mergeCells>
  <phoneticPr fontId="0" type="noConversion"/>
  <pageMargins left="0.23622047244094491" right="0.15748031496062992" top="0.39370078740157483" bottom="0.74803149606299213" header="0.31496062992125984" footer="0.31496062992125984"/>
  <pageSetup paperSize="9" scale="90" orientation="portrait" r:id="rId1"/>
  <headerFooter alignWithMargins="0">
    <oddFooter>&amp;L&amp;"David,מודגש"&amp;12&amp;P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7"/>
  <sheetViews>
    <sheetView rightToLeft="1" view="pageBreakPreview" topLeftCell="E74" zoomScaleNormal="100" zoomScaleSheetLayoutView="100" workbookViewId="0">
      <selection activeCell="E85" sqref="E85"/>
    </sheetView>
  </sheetViews>
  <sheetFormatPr defaultRowHeight="18.75" x14ac:dyDescent="0.3"/>
  <cols>
    <col min="1" max="1" width="5.7109375" style="385" customWidth="1"/>
    <col min="2" max="2" width="6.85546875" style="385" customWidth="1"/>
    <col min="3" max="3" width="47.85546875" style="385" customWidth="1"/>
    <col min="4" max="4" width="20.140625" style="394" customWidth="1"/>
    <col min="5" max="5" width="12" style="385" customWidth="1"/>
    <col min="6" max="6" width="9.28515625" style="385" customWidth="1"/>
    <col min="7" max="7" width="11.5703125" style="385" customWidth="1"/>
    <col min="8" max="8" width="9.5703125" style="385" customWidth="1"/>
    <col min="9" max="9" width="13.140625" style="394" customWidth="1"/>
    <col min="10" max="10" width="10.140625" style="385" customWidth="1"/>
    <col min="11" max="12" width="12.140625" style="385" customWidth="1"/>
    <col min="13" max="13" width="7.28515625" style="385" customWidth="1"/>
    <col min="14" max="15" width="12.28515625" style="385" hidden="1" customWidth="1"/>
    <col min="16" max="16" width="8" style="385" hidden="1" customWidth="1"/>
    <col min="17" max="17" width="14.85546875" style="385" hidden="1" customWidth="1"/>
    <col min="18" max="18" width="11.28515625" style="385" hidden="1" customWidth="1"/>
    <col min="19" max="20" width="8" style="385" hidden="1" customWidth="1"/>
    <col min="21" max="21" width="9.28515625" style="385" bestFit="1" customWidth="1"/>
    <col min="22" max="256" width="9.140625" style="385"/>
    <col min="257" max="257" width="5.7109375" style="385" customWidth="1"/>
    <col min="258" max="258" width="6.85546875" style="385" customWidth="1"/>
    <col min="259" max="259" width="47.85546875" style="385" customWidth="1"/>
    <col min="260" max="260" width="20.140625" style="385" customWidth="1"/>
    <col min="261" max="261" width="12" style="385" customWidth="1"/>
    <col min="262" max="262" width="9.28515625" style="385" customWidth="1"/>
    <col min="263" max="263" width="11.5703125" style="385" customWidth="1"/>
    <col min="264" max="264" width="9.5703125" style="385" customWidth="1"/>
    <col min="265" max="265" width="13.140625" style="385" customWidth="1"/>
    <col min="266" max="266" width="10.140625" style="385" customWidth="1"/>
    <col min="267" max="268" width="12.140625" style="385" customWidth="1"/>
    <col min="269" max="269" width="7.28515625" style="385" customWidth="1"/>
    <col min="270" max="276" width="0" style="385" hidden="1" customWidth="1"/>
    <col min="277" max="277" width="9.28515625" style="385" bestFit="1" customWidth="1"/>
    <col min="278" max="512" width="9.140625" style="385"/>
    <col min="513" max="513" width="5.7109375" style="385" customWidth="1"/>
    <col min="514" max="514" width="6.85546875" style="385" customWidth="1"/>
    <col min="515" max="515" width="47.85546875" style="385" customWidth="1"/>
    <col min="516" max="516" width="20.140625" style="385" customWidth="1"/>
    <col min="517" max="517" width="12" style="385" customWidth="1"/>
    <col min="518" max="518" width="9.28515625" style="385" customWidth="1"/>
    <col min="519" max="519" width="11.5703125" style="385" customWidth="1"/>
    <col min="520" max="520" width="9.5703125" style="385" customWidth="1"/>
    <col min="521" max="521" width="13.140625" style="385" customWidth="1"/>
    <col min="522" max="522" width="10.140625" style="385" customWidth="1"/>
    <col min="523" max="524" width="12.140625" style="385" customWidth="1"/>
    <col min="525" max="525" width="7.28515625" style="385" customWidth="1"/>
    <col min="526" max="532" width="0" style="385" hidden="1" customWidth="1"/>
    <col min="533" max="533" width="9.28515625" style="385" bestFit="1" customWidth="1"/>
    <col min="534" max="768" width="9.140625" style="385"/>
    <col min="769" max="769" width="5.7109375" style="385" customWidth="1"/>
    <col min="770" max="770" width="6.85546875" style="385" customWidth="1"/>
    <col min="771" max="771" width="47.85546875" style="385" customWidth="1"/>
    <col min="772" max="772" width="20.140625" style="385" customWidth="1"/>
    <col min="773" max="773" width="12" style="385" customWidth="1"/>
    <col min="774" max="774" width="9.28515625" style="385" customWidth="1"/>
    <col min="775" max="775" width="11.5703125" style="385" customWidth="1"/>
    <col min="776" max="776" width="9.5703125" style="385" customWidth="1"/>
    <col min="777" max="777" width="13.140625" style="385" customWidth="1"/>
    <col min="778" max="778" width="10.140625" style="385" customWidth="1"/>
    <col min="779" max="780" width="12.140625" style="385" customWidth="1"/>
    <col min="781" max="781" width="7.28515625" style="385" customWidth="1"/>
    <col min="782" max="788" width="0" style="385" hidden="1" customWidth="1"/>
    <col min="789" max="789" width="9.28515625" style="385" bestFit="1" customWidth="1"/>
    <col min="790" max="1024" width="9.140625" style="385"/>
    <col min="1025" max="1025" width="5.7109375" style="385" customWidth="1"/>
    <col min="1026" max="1026" width="6.85546875" style="385" customWidth="1"/>
    <col min="1027" max="1027" width="47.85546875" style="385" customWidth="1"/>
    <col min="1028" max="1028" width="20.140625" style="385" customWidth="1"/>
    <col min="1029" max="1029" width="12" style="385" customWidth="1"/>
    <col min="1030" max="1030" width="9.28515625" style="385" customWidth="1"/>
    <col min="1031" max="1031" width="11.5703125" style="385" customWidth="1"/>
    <col min="1032" max="1032" width="9.5703125" style="385" customWidth="1"/>
    <col min="1033" max="1033" width="13.140625" style="385" customWidth="1"/>
    <col min="1034" max="1034" width="10.140625" style="385" customWidth="1"/>
    <col min="1035" max="1036" width="12.140625" style="385" customWidth="1"/>
    <col min="1037" max="1037" width="7.28515625" style="385" customWidth="1"/>
    <col min="1038" max="1044" width="0" style="385" hidden="1" customWidth="1"/>
    <col min="1045" max="1045" width="9.28515625" style="385" bestFit="1" customWidth="1"/>
    <col min="1046" max="1280" width="9.140625" style="385"/>
    <col min="1281" max="1281" width="5.7109375" style="385" customWidth="1"/>
    <col min="1282" max="1282" width="6.85546875" style="385" customWidth="1"/>
    <col min="1283" max="1283" width="47.85546875" style="385" customWidth="1"/>
    <col min="1284" max="1284" width="20.140625" style="385" customWidth="1"/>
    <col min="1285" max="1285" width="12" style="385" customWidth="1"/>
    <col min="1286" max="1286" width="9.28515625" style="385" customWidth="1"/>
    <col min="1287" max="1287" width="11.5703125" style="385" customWidth="1"/>
    <col min="1288" max="1288" width="9.5703125" style="385" customWidth="1"/>
    <col min="1289" max="1289" width="13.140625" style="385" customWidth="1"/>
    <col min="1290" max="1290" width="10.140625" style="385" customWidth="1"/>
    <col min="1291" max="1292" width="12.140625" style="385" customWidth="1"/>
    <col min="1293" max="1293" width="7.28515625" style="385" customWidth="1"/>
    <col min="1294" max="1300" width="0" style="385" hidden="1" customWidth="1"/>
    <col min="1301" max="1301" width="9.28515625" style="385" bestFit="1" customWidth="1"/>
    <col min="1302" max="1536" width="9.140625" style="385"/>
    <col min="1537" max="1537" width="5.7109375" style="385" customWidth="1"/>
    <col min="1538" max="1538" width="6.85546875" style="385" customWidth="1"/>
    <col min="1539" max="1539" width="47.85546875" style="385" customWidth="1"/>
    <col min="1540" max="1540" width="20.140625" style="385" customWidth="1"/>
    <col min="1541" max="1541" width="12" style="385" customWidth="1"/>
    <col min="1542" max="1542" width="9.28515625" style="385" customWidth="1"/>
    <col min="1543" max="1543" width="11.5703125" style="385" customWidth="1"/>
    <col min="1544" max="1544" width="9.5703125" style="385" customWidth="1"/>
    <col min="1545" max="1545" width="13.140625" style="385" customWidth="1"/>
    <col min="1546" max="1546" width="10.140625" style="385" customWidth="1"/>
    <col min="1547" max="1548" width="12.140625" style="385" customWidth="1"/>
    <col min="1549" max="1549" width="7.28515625" style="385" customWidth="1"/>
    <col min="1550" max="1556" width="0" style="385" hidden="1" customWidth="1"/>
    <col min="1557" max="1557" width="9.28515625" style="385" bestFit="1" customWidth="1"/>
    <col min="1558" max="1792" width="9.140625" style="385"/>
    <col min="1793" max="1793" width="5.7109375" style="385" customWidth="1"/>
    <col min="1794" max="1794" width="6.85546875" style="385" customWidth="1"/>
    <col min="1795" max="1795" width="47.85546875" style="385" customWidth="1"/>
    <col min="1796" max="1796" width="20.140625" style="385" customWidth="1"/>
    <col min="1797" max="1797" width="12" style="385" customWidth="1"/>
    <col min="1798" max="1798" width="9.28515625" style="385" customWidth="1"/>
    <col min="1799" max="1799" width="11.5703125" style="385" customWidth="1"/>
    <col min="1800" max="1800" width="9.5703125" style="385" customWidth="1"/>
    <col min="1801" max="1801" width="13.140625" style="385" customWidth="1"/>
    <col min="1802" max="1802" width="10.140625" style="385" customWidth="1"/>
    <col min="1803" max="1804" width="12.140625" style="385" customWidth="1"/>
    <col min="1805" max="1805" width="7.28515625" style="385" customWidth="1"/>
    <col min="1806" max="1812" width="0" style="385" hidden="1" customWidth="1"/>
    <col min="1813" max="1813" width="9.28515625" style="385" bestFit="1" customWidth="1"/>
    <col min="1814" max="2048" width="9.140625" style="385"/>
    <col min="2049" max="2049" width="5.7109375" style="385" customWidth="1"/>
    <col min="2050" max="2050" width="6.85546875" style="385" customWidth="1"/>
    <col min="2051" max="2051" width="47.85546875" style="385" customWidth="1"/>
    <col min="2052" max="2052" width="20.140625" style="385" customWidth="1"/>
    <col min="2053" max="2053" width="12" style="385" customWidth="1"/>
    <col min="2054" max="2054" width="9.28515625" style="385" customWidth="1"/>
    <col min="2055" max="2055" width="11.5703125" style="385" customWidth="1"/>
    <col min="2056" max="2056" width="9.5703125" style="385" customWidth="1"/>
    <col min="2057" max="2057" width="13.140625" style="385" customWidth="1"/>
    <col min="2058" max="2058" width="10.140625" style="385" customWidth="1"/>
    <col min="2059" max="2060" width="12.140625" style="385" customWidth="1"/>
    <col min="2061" max="2061" width="7.28515625" style="385" customWidth="1"/>
    <col min="2062" max="2068" width="0" style="385" hidden="1" customWidth="1"/>
    <col min="2069" max="2069" width="9.28515625" style="385" bestFit="1" customWidth="1"/>
    <col min="2070" max="2304" width="9.140625" style="385"/>
    <col min="2305" max="2305" width="5.7109375" style="385" customWidth="1"/>
    <col min="2306" max="2306" width="6.85546875" style="385" customWidth="1"/>
    <col min="2307" max="2307" width="47.85546875" style="385" customWidth="1"/>
    <col min="2308" max="2308" width="20.140625" style="385" customWidth="1"/>
    <col min="2309" max="2309" width="12" style="385" customWidth="1"/>
    <col min="2310" max="2310" width="9.28515625" style="385" customWidth="1"/>
    <col min="2311" max="2311" width="11.5703125" style="385" customWidth="1"/>
    <col min="2312" max="2312" width="9.5703125" style="385" customWidth="1"/>
    <col min="2313" max="2313" width="13.140625" style="385" customWidth="1"/>
    <col min="2314" max="2314" width="10.140625" style="385" customWidth="1"/>
    <col min="2315" max="2316" width="12.140625" style="385" customWidth="1"/>
    <col min="2317" max="2317" width="7.28515625" style="385" customWidth="1"/>
    <col min="2318" max="2324" width="0" style="385" hidden="1" customWidth="1"/>
    <col min="2325" max="2325" width="9.28515625" style="385" bestFit="1" customWidth="1"/>
    <col min="2326" max="2560" width="9.140625" style="385"/>
    <col min="2561" max="2561" width="5.7109375" style="385" customWidth="1"/>
    <col min="2562" max="2562" width="6.85546875" style="385" customWidth="1"/>
    <col min="2563" max="2563" width="47.85546875" style="385" customWidth="1"/>
    <col min="2564" max="2564" width="20.140625" style="385" customWidth="1"/>
    <col min="2565" max="2565" width="12" style="385" customWidth="1"/>
    <col min="2566" max="2566" width="9.28515625" style="385" customWidth="1"/>
    <col min="2567" max="2567" width="11.5703125" style="385" customWidth="1"/>
    <col min="2568" max="2568" width="9.5703125" style="385" customWidth="1"/>
    <col min="2569" max="2569" width="13.140625" style="385" customWidth="1"/>
    <col min="2570" max="2570" width="10.140625" style="385" customWidth="1"/>
    <col min="2571" max="2572" width="12.140625" style="385" customWidth="1"/>
    <col min="2573" max="2573" width="7.28515625" style="385" customWidth="1"/>
    <col min="2574" max="2580" width="0" style="385" hidden="1" customWidth="1"/>
    <col min="2581" max="2581" width="9.28515625" style="385" bestFit="1" customWidth="1"/>
    <col min="2582" max="2816" width="9.140625" style="385"/>
    <col min="2817" max="2817" width="5.7109375" style="385" customWidth="1"/>
    <col min="2818" max="2818" width="6.85546875" style="385" customWidth="1"/>
    <col min="2819" max="2819" width="47.85546875" style="385" customWidth="1"/>
    <col min="2820" max="2820" width="20.140625" style="385" customWidth="1"/>
    <col min="2821" max="2821" width="12" style="385" customWidth="1"/>
    <col min="2822" max="2822" width="9.28515625" style="385" customWidth="1"/>
    <col min="2823" max="2823" width="11.5703125" style="385" customWidth="1"/>
    <col min="2824" max="2824" width="9.5703125" style="385" customWidth="1"/>
    <col min="2825" max="2825" width="13.140625" style="385" customWidth="1"/>
    <col min="2826" max="2826" width="10.140625" style="385" customWidth="1"/>
    <col min="2827" max="2828" width="12.140625" style="385" customWidth="1"/>
    <col min="2829" max="2829" width="7.28515625" style="385" customWidth="1"/>
    <col min="2830" max="2836" width="0" style="385" hidden="1" customWidth="1"/>
    <col min="2837" max="2837" width="9.28515625" style="385" bestFit="1" customWidth="1"/>
    <col min="2838" max="3072" width="9.140625" style="385"/>
    <col min="3073" max="3073" width="5.7109375" style="385" customWidth="1"/>
    <col min="3074" max="3074" width="6.85546875" style="385" customWidth="1"/>
    <col min="3075" max="3075" width="47.85546875" style="385" customWidth="1"/>
    <col min="3076" max="3076" width="20.140625" style="385" customWidth="1"/>
    <col min="3077" max="3077" width="12" style="385" customWidth="1"/>
    <col min="3078" max="3078" width="9.28515625" style="385" customWidth="1"/>
    <col min="3079" max="3079" width="11.5703125" style="385" customWidth="1"/>
    <col min="3080" max="3080" width="9.5703125" style="385" customWidth="1"/>
    <col min="3081" max="3081" width="13.140625" style="385" customWidth="1"/>
    <col min="3082" max="3082" width="10.140625" style="385" customWidth="1"/>
    <col min="3083" max="3084" width="12.140625" style="385" customWidth="1"/>
    <col min="3085" max="3085" width="7.28515625" style="385" customWidth="1"/>
    <col min="3086" max="3092" width="0" style="385" hidden="1" customWidth="1"/>
    <col min="3093" max="3093" width="9.28515625" style="385" bestFit="1" customWidth="1"/>
    <col min="3094" max="3328" width="9.140625" style="385"/>
    <col min="3329" max="3329" width="5.7109375" style="385" customWidth="1"/>
    <col min="3330" max="3330" width="6.85546875" style="385" customWidth="1"/>
    <col min="3331" max="3331" width="47.85546875" style="385" customWidth="1"/>
    <col min="3332" max="3332" width="20.140625" style="385" customWidth="1"/>
    <col min="3333" max="3333" width="12" style="385" customWidth="1"/>
    <col min="3334" max="3334" width="9.28515625" style="385" customWidth="1"/>
    <col min="3335" max="3335" width="11.5703125" style="385" customWidth="1"/>
    <col min="3336" max="3336" width="9.5703125" style="385" customWidth="1"/>
    <col min="3337" max="3337" width="13.140625" style="385" customWidth="1"/>
    <col min="3338" max="3338" width="10.140625" style="385" customWidth="1"/>
    <col min="3339" max="3340" width="12.140625" style="385" customWidth="1"/>
    <col min="3341" max="3341" width="7.28515625" style="385" customWidth="1"/>
    <col min="3342" max="3348" width="0" style="385" hidden="1" customWidth="1"/>
    <col min="3349" max="3349" width="9.28515625" style="385" bestFit="1" customWidth="1"/>
    <col min="3350" max="3584" width="9.140625" style="385"/>
    <col min="3585" max="3585" width="5.7109375" style="385" customWidth="1"/>
    <col min="3586" max="3586" width="6.85546875" style="385" customWidth="1"/>
    <col min="3587" max="3587" width="47.85546875" style="385" customWidth="1"/>
    <col min="3588" max="3588" width="20.140625" style="385" customWidth="1"/>
    <col min="3589" max="3589" width="12" style="385" customWidth="1"/>
    <col min="3590" max="3590" width="9.28515625" style="385" customWidth="1"/>
    <col min="3591" max="3591" width="11.5703125" style="385" customWidth="1"/>
    <col min="3592" max="3592" width="9.5703125" style="385" customWidth="1"/>
    <col min="3593" max="3593" width="13.140625" style="385" customWidth="1"/>
    <col min="3594" max="3594" width="10.140625" style="385" customWidth="1"/>
    <col min="3595" max="3596" width="12.140625" style="385" customWidth="1"/>
    <col min="3597" max="3597" width="7.28515625" style="385" customWidth="1"/>
    <col min="3598" max="3604" width="0" style="385" hidden="1" customWidth="1"/>
    <col min="3605" max="3605" width="9.28515625" style="385" bestFit="1" customWidth="1"/>
    <col min="3606" max="3840" width="9.140625" style="385"/>
    <col min="3841" max="3841" width="5.7109375" style="385" customWidth="1"/>
    <col min="3842" max="3842" width="6.85546875" style="385" customWidth="1"/>
    <col min="3843" max="3843" width="47.85546875" style="385" customWidth="1"/>
    <col min="3844" max="3844" width="20.140625" style="385" customWidth="1"/>
    <col min="3845" max="3845" width="12" style="385" customWidth="1"/>
    <col min="3846" max="3846" width="9.28515625" style="385" customWidth="1"/>
    <col min="3847" max="3847" width="11.5703125" style="385" customWidth="1"/>
    <col min="3848" max="3848" width="9.5703125" style="385" customWidth="1"/>
    <col min="3849" max="3849" width="13.140625" style="385" customWidth="1"/>
    <col min="3850" max="3850" width="10.140625" style="385" customWidth="1"/>
    <col min="3851" max="3852" width="12.140625" style="385" customWidth="1"/>
    <col min="3853" max="3853" width="7.28515625" style="385" customWidth="1"/>
    <col min="3854" max="3860" width="0" style="385" hidden="1" customWidth="1"/>
    <col min="3861" max="3861" width="9.28515625" style="385" bestFit="1" customWidth="1"/>
    <col min="3862" max="4096" width="9.140625" style="385"/>
    <col min="4097" max="4097" width="5.7109375" style="385" customWidth="1"/>
    <col min="4098" max="4098" width="6.85546875" style="385" customWidth="1"/>
    <col min="4099" max="4099" width="47.85546875" style="385" customWidth="1"/>
    <col min="4100" max="4100" width="20.140625" style="385" customWidth="1"/>
    <col min="4101" max="4101" width="12" style="385" customWidth="1"/>
    <col min="4102" max="4102" width="9.28515625" style="385" customWidth="1"/>
    <col min="4103" max="4103" width="11.5703125" style="385" customWidth="1"/>
    <col min="4104" max="4104" width="9.5703125" style="385" customWidth="1"/>
    <col min="4105" max="4105" width="13.140625" style="385" customWidth="1"/>
    <col min="4106" max="4106" width="10.140625" style="385" customWidth="1"/>
    <col min="4107" max="4108" width="12.140625" style="385" customWidth="1"/>
    <col min="4109" max="4109" width="7.28515625" style="385" customWidth="1"/>
    <col min="4110" max="4116" width="0" style="385" hidden="1" customWidth="1"/>
    <col min="4117" max="4117" width="9.28515625" style="385" bestFit="1" customWidth="1"/>
    <col min="4118" max="4352" width="9.140625" style="385"/>
    <col min="4353" max="4353" width="5.7109375" style="385" customWidth="1"/>
    <col min="4354" max="4354" width="6.85546875" style="385" customWidth="1"/>
    <col min="4355" max="4355" width="47.85546875" style="385" customWidth="1"/>
    <col min="4356" max="4356" width="20.140625" style="385" customWidth="1"/>
    <col min="4357" max="4357" width="12" style="385" customWidth="1"/>
    <col min="4358" max="4358" width="9.28515625" style="385" customWidth="1"/>
    <col min="4359" max="4359" width="11.5703125" style="385" customWidth="1"/>
    <col min="4360" max="4360" width="9.5703125" style="385" customWidth="1"/>
    <col min="4361" max="4361" width="13.140625" style="385" customWidth="1"/>
    <col min="4362" max="4362" width="10.140625" style="385" customWidth="1"/>
    <col min="4363" max="4364" width="12.140625" style="385" customWidth="1"/>
    <col min="4365" max="4365" width="7.28515625" style="385" customWidth="1"/>
    <col min="4366" max="4372" width="0" style="385" hidden="1" customWidth="1"/>
    <col min="4373" max="4373" width="9.28515625" style="385" bestFit="1" customWidth="1"/>
    <col min="4374" max="4608" width="9.140625" style="385"/>
    <col min="4609" max="4609" width="5.7109375" style="385" customWidth="1"/>
    <col min="4610" max="4610" width="6.85546875" style="385" customWidth="1"/>
    <col min="4611" max="4611" width="47.85546875" style="385" customWidth="1"/>
    <col min="4612" max="4612" width="20.140625" style="385" customWidth="1"/>
    <col min="4613" max="4613" width="12" style="385" customWidth="1"/>
    <col min="4614" max="4614" width="9.28515625" style="385" customWidth="1"/>
    <col min="4615" max="4615" width="11.5703125" style="385" customWidth="1"/>
    <col min="4616" max="4616" width="9.5703125" style="385" customWidth="1"/>
    <col min="4617" max="4617" width="13.140625" style="385" customWidth="1"/>
    <col min="4618" max="4618" width="10.140625" style="385" customWidth="1"/>
    <col min="4619" max="4620" width="12.140625" style="385" customWidth="1"/>
    <col min="4621" max="4621" width="7.28515625" style="385" customWidth="1"/>
    <col min="4622" max="4628" width="0" style="385" hidden="1" customWidth="1"/>
    <col min="4629" max="4629" width="9.28515625" style="385" bestFit="1" customWidth="1"/>
    <col min="4630" max="4864" width="9.140625" style="385"/>
    <col min="4865" max="4865" width="5.7109375" style="385" customWidth="1"/>
    <col min="4866" max="4866" width="6.85546875" style="385" customWidth="1"/>
    <col min="4867" max="4867" width="47.85546875" style="385" customWidth="1"/>
    <col min="4868" max="4868" width="20.140625" style="385" customWidth="1"/>
    <col min="4869" max="4869" width="12" style="385" customWidth="1"/>
    <col min="4870" max="4870" width="9.28515625" style="385" customWidth="1"/>
    <col min="4871" max="4871" width="11.5703125" style="385" customWidth="1"/>
    <col min="4872" max="4872" width="9.5703125" style="385" customWidth="1"/>
    <col min="4873" max="4873" width="13.140625" style="385" customWidth="1"/>
    <col min="4874" max="4874" width="10.140625" style="385" customWidth="1"/>
    <col min="4875" max="4876" width="12.140625" style="385" customWidth="1"/>
    <col min="4877" max="4877" width="7.28515625" style="385" customWidth="1"/>
    <col min="4878" max="4884" width="0" style="385" hidden="1" customWidth="1"/>
    <col min="4885" max="4885" width="9.28515625" style="385" bestFit="1" customWidth="1"/>
    <col min="4886" max="5120" width="9.140625" style="385"/>
    <col min="5121" max="5121" width="5.7109375" style="385" customWidth="1"/>
    <col min="5122" max="5122" width="6.85546875" style="385" customWidth="1"/>
    <col min="5123" max="5123" width="47.85546875" style="385" customWidth="1"/>
    <col min="5124" max="5124" width="20.140625" style="385" customWidth="1"/>
    <col min="5125" max="5125" width="12" style="385" customWidth="1"/>
    <col min="5126" max="5126" width="9.28515625" style="385" customWidth="1"/>
    <col min="5127" max="5127" width="11.5703125" style="385" customWidth="1"/>
    <col min="5128" max="5128" width="9.5703125" style="385" customWidth="1"/>
    <col min="5129" max="5129" width="13.140625" style="385" customWidth="1"/>
    <col min="5130" max="5130" width="10.140625" style="385" customWidth="1"/>
    <col min="5131" max="5132" width="12.140625" style="385" customWidth="1"/>
    <col min="5133" max="5133" width="7.28515625" style="385" customWidth="1"/>
    <col min="5134" max="5140" width="0" style="385" hidden="1" customWidth="1"/>
    <col min="5141" max="5141" width="9.28515625" style="385" bestFit="1" customWidth="1"/>
    <col min="5142" max="5376" width="9.140625" style="385"/>
    <col min="5377" max="5377" width="5.7109375" style="385" customWidth="1"/>
    <col min="5378" max="5378" width="6.85546875" style="385" customWidth="1"/>
    <col min="5379" max="5379" width="47.85546875" style="385" customWidth="1"/>
    <col min="5380" max="5380" width="20.140625" style="385" customWidth="1"/>
    <col min="5381" max="5381" width="12" style="385" customWidth="1"/>
    <col min="5382" max="5382" width="9.28515625" style="385" customWidth="1"/>
    <col min="5383" max="5383" width="11.5703125" style="385" customWidth="1"/>
    <col min="5384" max="5384" width="9.5703125" style="385" customWidth="1"/>
    <col min="5385" max="5385" width="13.140625" style="385" customWidth="1"/>
    <col min="5386" max="5386" width="10.140625" style="385" customWidth="1"/>
    <col min="5387" max="5388" width="12.140625" style="385" customWidth="1"/>
    <col min="5389" max="5389" width="7.28515625" style="385" customWidth="1"/>
    <col min="5390" max="5396" width="0" style="385" hidden="1" customWidth="1"/>
    <col min="5397" max="5397" width="9.28515625" style="385" bestFit="1" customWidth="1"/>
    <col min="5398" max="5632" width="9.140625" style="385"/>
    <col min="5633" max="5633" width="5.7109375" style="385" customWidth="1"/>
    <col min="5634" max="5634" width="6.85546875" style="385" customWidth="1"/>
    <col min="5635" max="5635" width="47.85546875" style="385" customWidth="1"/>
    <col min="5636" max="5636" width="20.140625" style="385" customWidth="1"/>
    <col min="5637" max="5637" width="12" style="385" customWidth="1"/>
    <col min="5638" max="5638" width="9.28515625" style="385" customWidth="1"/>
    <col min="5639" max="5639" width="11.5703125" style="385" customWidth="1"/>
    <col min="5640" max="5640" width="9.5703125" style="385" customWidth="1"/>
    <col min="5641" max="5641" width="13.140625" style="385" customWidth="1"/>
    <col min="5642" max="5642" width="10.140625" style="385" customWidth="1"/>
    <col min="5643" max="5644" width="12.140625" style="385" customWidth="1"/>
    <col min="5645" max="5645" width="7.28515625" style="385" customWidth="1"/>
    <col min="5646" max="5652" width="0" style="385" hidden="1" customWidth="1"/>
    <col min="5653" max="5653" width="9.28515625" style="385" bestFit="1" customWidth="1"/>
    <col min="5654" max="5888" width="9.140625" style="385"/>
    <col min="5889" max="5889" width="5.7109375" style="385" customWidth="1"/>
    <col min="5890" max="5890" width="6.85546875" style="385" customWidth="1"/>
    <col min="5891" max="5891" width="47.85546875" style="385" customWidth="1"/>
    <col min="5892" max="5892" width="20.140625" style="385" customWidth="1"/>
    <col min="5893" max="5893" width="12" style="385" customWidth="1"/>
    <col min="5894" max="5894" width="9.28515625" style="385" customWidth="1"/>
    <col min="5895" max="5895" width="11.5703125" style="385" customWidth="1"/>
    <col min="5896" max="5896" width="9.5703125" style="385" customWidth="1"/>
    <col min="5897" max="5897" width="13.140625" style="385" customWidth="1"/>
    <col min="5898" max="5898" width="10.140625" style="385" customWidth="1"/>
    <col min="5899" max="5900" width="12.140625" style="385" customWidth="1"/>
    <col min="5901" max="5901" width="7.28515625" style="385" customWidth="1"/>
    <col min="5902" max="5908" width="0" style="385" hidden="1" customWidth="1"/>
    <col min="5909" max="5909" width="9.28515625" style="385" bestFit="1" customWidth="1"/>
    <col min="5910" max="6144" width="9.140625" style="385"/>
    <col min="6145" max="6145" width="5.7109375" style="385" customWidth="1"/>
    <col min="6146" max="6146" width="6.85546875" style="385" customWidth="1"/>
    <col min="6147" max="6147" width="47.85546875" style="385" customWidth="1"/>
    <col min="6148" max="6148" width="20.140625" style="385" customWidth="1"/>
    <col min="6149" max="6149" width="12" style="385" customWidth="1"/>
    <col min="6150" max="6150" width="9.28515625" style="385" customWidth="1"/>
    <col min="6151" max="6151" width="11.5703125" style="385" customWidth="1"/>
    <col min="6152" max="6152" width="9.5703125" style="385" customWidth="1"/>
    <col min="6153" max="6153" width="13.140625" style="385" customWidth="1"/>
    <col min="6154" max="6154" width="10.140625" style="385" customWidth="1"/>
    <col min="6155" max="6156" width="12.140625" style="385" customWidth="1"/>
    <col min="6157" max="6157" width="7.28515625" style="385" customWidth="1"/>
    <col min="6158" max="6164" width="0" style="385" hidden="1" customWidth="1"/>
    <col min="6165" max="6165" width="9.28515625" style="385" bestFit="1" customWidth="1"/>
    <col min="6166" max="6400" width="9.140625" style="385"/>
    <col min="6401" max="6401" width="5.7109375" style="385" customWidth="1"/>
    <col min="6402" max="6402" width="6.85546875" style="385" customWidth="1"/>
    <col min="6403" max="6403" width="47.85546875" style="385" customWidth="1"/>
    <col min="6404" max="6404" width="20.140625" style="385" customWidth="1"/>
    <col min="6405" max="6405" width="12" style="385" customWidth="1"/>
    <col min="6406" max="6406" width="9.28515625" style="385" customWidth="1"/>
    <col min="6407" max="6407" width="11.5703125" style="385" customWidth="1"/>
    <col min="6408" max="6408" width="9.5703125" style="385" customWidth="1"/>
    <col min="6409" max="6409" width="13.140625" style="385" customWidth="1"/>
    <col min="6410" max="6410" width="10.140625" style="385" customWidth="1"/>
    <col min="6411" max="6412" width="12.140625" style="385" customWidth="1"/>
    <col min="6413" max="6413" width="7.28515625" style="385" customWidth="1"/>
    <col min="6414" max="6420" width="0" style="385" hidden="1" customWidth="1"/>
    <col min="6421" max="6421" width="9.28515625" style="385" bestFit="1" customWidth="1"/>
    <col min="6422" max="6656" width="9.140625" style="385"/>
    <col min="6657" max="6657" width="5.7109375" style="385" customWidth="1"/>
    <col min="6658" max="6658" width="6.85546875" style="385" customWidth="1"/>
    <col min="6659" max="6659" width="47.85546875" style="385" customWidth="1"/>
    <col min="6660" max="6660" width="20.140625" style="385" customWidth="1"/>
    <col min="6661" max="6661" width="12" style="385" customWidth="1"/>
    <col min="6662" max="6662" width="9.28515625" style="385" customWidth="1"/>
    <col min="6663" max="6663" width="11.5703125" style="385" customWidth="1"/>
    <col min="6664" max="6664" width="9.5703125" style="385" customWidth="1"/>
    <col min="6665" max="6665" width="13.140625" style="385" customWidth="1"/>
    <col min="6666" max="6666" width="10.140625" style="385" customWidth="1"/>
    <col min="6667" max="6668" width="12.140625" style="385" customWidth="1"/>
    <col min="6669" max="6669" width="7.28515625" style="385" customWidth="1"/>
    <col min="6670" max="6676" width="0" style="385" hidden="1" customWidth="1"/>
    <col min="6677" max="6677" width="9.28515625" style="385" bestFit="1" customWidth="1"/>
    <col min="6678" max="6912" width="9.140625" style="385"/>
    <col min="6913" max="6913" width="5.7109375" style="385" customWidth="1"/>
    <col min="6914" max="6914" width="6.85546875" style="385" customWidth="1"/>
    <col min="6915" max="6915" width="47.85546875" style="385" customWidth="1"/>
    <col min="6916" max="6916" width="20.140625" style="385" customWidth="1"/>
    <col min="6917" max="6917" width="12" style="385" customWidth="1"/>
    <col min="6918" max="6918" width="9.28515625" style="385" customWidth="1"/>
    <col min="6919" max="6919" width="11.5703125" style="385" customWidth="1"/>
    <col min="6920" max="6920" width="9.5703125" style="385" customWidth="1"/>
    <col min="6921" max="6921" width="13.140625" style="385" customWidth="1"/>
    <col min="6922" max="6922" width="10.140625" style="385" customWidth="1"/>
    <col min="6923" max="6924" width="12.140625" style="385" customWidth="1"/>
    <col min="6925" max="6925" width="7.28515625" style="385" customWidth="1"/>
    <col min="6926" max="6932" width="0" style="385" hidden="1" customWidth="1"/>
    <col min="6933" max="6933" width="9.28515625" style="385" bestFit="1" customWidth="1"/>
    <col min="6934" max="7168" width="9.140625" style="385"/>
    <col min="7169" max="7169" width="5.7109375" style="385" customWidth="1"/>
    <col min="7170" max="7170" width="6.85546875" style="385" customWidth="1"/>
    <col min="7171" max="7171" width="47.85546875" style="385" customWidth="1"/>
    <col min="7172" max="7172" width="20.140625" style="385" customWidth="1"/>
    <col min="7173" max="7173" width="12" style="385" customWidth="1"/>
    <col min="7174" max="7174" width="9.28515625" style="385" customWidth="1"/>
    <col min="7175" max="7175" width="11.5703125" style="385" customWidth="1"/>
    <col min="7176" max="7176" width="9.5703125" style="385" customWidth="1"/>
    <col min="7177" max="7177" width="13.140625" style="385" customWidth="1"/>
    <col min="7178" max="7178" width="10.140625" style="385" customWidth="1"/>
    <col min="7179" max="7180" width="12.140625" style="385" customWidth="1"/>
    <col min="7181" max="7181" width="7.28515625" style="385" customWidth="1"/>
    <col min="7182" max="7188" width="0" style="385" hidden="1" customWidth="1"/>
    <col min="7189" max="7189" width="9.28515625" style="385" bestFit="1" customWidth="1"/>
    <col min="7190" max="7424" width="9.140625" style="385"/>
    <col min="7425" max="7425" width="5.7109375" style="385" customWidth="1"/>
    <col min="7426" max="7426" width="6.85546875" style="385" customWidth="1"/>
    <col min="7427" max="7427" width="47.85546875" style="385" customWidth="1"/>
    <col min="7428" max="7428" width="20.140625" style="385" customWidth="1"/>
    <col min="7429" max="7429" width="12" style="385" customWidth="1"/>
    <col min="7430" max="7430" width="9.28515625" style="385" customWidth="1"/>
    <col min="7431" max="7431" width="11.5703125" style="385" customWidth="1"/>
    <col min="7432" max="7432" width="9.5703125" style="385" customWidth="1"/>
    <col min="7433" max="7433" width="13.140625" style="385" customWidth="1"/>
    <col min="7434" max="7434" width="10.140625" style="385" customWidth="1"/>
    <col min="7435" max="7436" width="12.140625" style="385" customWidth="1"/>
    <col min="7437" max="7437" width="7.28515625" style="385" customWidth="1"/>
    <col min="7438" max="7444" width="0" style="385" hidden="1" customWidth="1"/>
    <col min="7445" max="7445" width="9.28515625" style="385" bestFit="1" customWidth="1"/>
    <col min="7446" max="7680" width="9.140625" style="385"/>
    <col min="7681" max="7681" width="5.7109375" style="385" customWidth="1"/>
    <col min="7682" max="7682" width="6.85546875" style="385" customWidth="1"/>
    <col min="7683" max="7683" width="47.85546875" style="385" customWidth="1"/>
    <col min="7684" max="7684" width="20.140625" style="385" customWidth="1"/>
    <col min="7685" max="7685" width="12" style="385" customWidth="1"/>
    <col min="7686" max="7686" width="9.28515625" style="385" customWidth="1"/>
    <col min="7687" max="7687" width="11.5703125" style="385" customWidth="1"/>
    <col min="7688" max="7688" width="9.5703125" style="385" customWidth="1"/>
    <col min="7689" max="7689" width="13.140625" style="385" customWidth="1"/>
    <col min="7690" max="7690" width="10.140625" style="385" customWidth="1"/>
    <col min="7691" max="7692" width="12.140625" style="385" customWidth="1"/>
    <col min="7693" max="7693" width="7.28515625" style="385" customWidth="1"/>
    <col min="7694" max="7700" width="0" style="385" hidden="1" customWidth="1"/>
    <col min="7701" max="7701" width="9.28515625" style="385" bestFit="1" customWidth="1"/>
    <col min="7702" max="7936" width="9.140625" style="385"/>
    <col min="7937" max="7937" width="5.7109375" style="385" customWidth="1"/>
    <col min="7938" max="7938" width="6.85546875" style="385" customWidth="1"/>
    <col min="7939" max="7939" width="47.85546875" style="385" customWidth="1"/>
    <col min="7940" max="7940" width="20.140625" style="385" customWidth="1"/>
    <col min="7941" max="7941" width="12" style="385" customWidth="1"/>
    <col min="7942" max="7942" width="9.28515625" style="385" customWidth="1"/>
    <col min="7943" max="7943" width="11.5703125" style="385" customWidth="1"/>
    <col min="7944" max="7944" width="9.5703125" style="385" customWidth="1"/>
    <col min="7945" max="7945" width="13.140625" style="385" customWidth="1"/>
    <col min="7946" max="7946" width="10.140625" style="385" customWidth="1"/>
    <col min="7947" max="7948" width="12.140625" style="385" customWidth="1"/>
    <col min="7949" max="7949" width="7.28515625" style="385" customWidth="1"/>
    <col min="7950" max="7956" width="0" style="385" hidden="1" customWidth="1"/>
    <col min="7957" max="7957" width="9.28515625" style="385" bestFit="1" customWidth="1"/>
    <col min="7958" max="8192" width="9.140625" style="385"/>
    <col min="8193" max="8193" width="5.7109375" style="385" customWidth="1"/>
    <col min="8194" max="8194" width="6.85546875" style="385" customWidth="1"/>
    <col min="8195" max="8195" width="47.85546875" style="385" customWidth="1"/>
    <col min="8196" max="8196" width="20.140625" style="385" customWidth="1"/>
    <col min="8197" max="8197" width="12" style="385" customWidth="1"/>
    <col min="8198" max="8198" width="9.28515625" style="385" customWidth="1"/>
    <col min="8199" max="8199" width="11.5703125" style="385" customWidth="1"/>
    <col min="8200" max="8200" width="9.5703125" style="385" customWidth="1"/>
    <col min="8201" max="8201" width="13.140625" style="385" customWidth="1"/>
    <col min="8202" max="8202" width="10.140625" style="385" customWidth="1"/>
    <col min="8203" max="8204" width="12.140625" style="385" customWidth="1"/>
    <col min="8205" max="8205" width="7.28515625" style="385" customWidth="1"/>
    <col min="8206" max="8212" width="0" style="385" hidden="1" customWidth="1"/>
    <col min="8213" max="8213" width="9.28515625" style="385" bestFit="1" customWidth="1"/>
    <col min="8214" max="8448" width="9.140625" style="385"/>
    <col min="8449" max="8449" width="5.7109375" style="385" customWidth="1"/>
    <col min="8450" max="8450" width="6.85546875" style="385" customWidth="1"/>
    <col min="8451" max="8451" width="47.85546875" style="385" customWidth="1"/>
    <col min="8452" max="8452" width="20.140625" style="385" customWidth="1"/>
    <col min="8453" max="8453" width="12" style="385" customWidth="1"/>
    <col min="8454" max="8454" width="9.28515625" style="385" customWidth="1"/>
    <col min="8455" max="8455" width="11.5703125" style="385" customWidth="1"/>
    <col min="8456" max="8456" width="9.5703125" style="385" customWidth="1"/>
    <col min="8457" max="8457" width="13.140625" style="385" customWidth="1"/>
    <col min="8458" max="8458" width="10.140625" style="385" customWidth="1"/>
    <col min="8459" max="8460" width="12.140625" style="385" customWidth="1"/>
    <col min="8461" max="8461" width="7.28515625" style="385" customWidth="1"/>
    <col min="8462" max="8468" width="0" style="385" hidden="1" customWidth="1"/>
    <col min="8469" max="8469" width="9.28515625" style="385" bestFit="1" customWidth="1"/>
    <col min="8470" max="8704" width="9.140625" style="385"/>
    <col min="8705" max="8705" width="5.7109375" style="385" customWidth="1"/>
    <col min="8706" max="8706" width="6.85546875" style="385" customWidth="1"/>
    <col min="8707" max="8707" width="47.85546875" style="385" customWidth="1"/>
    <col min="8708" max="8708" width="20.140625" style="385" customWidth="1"/>
    <col min="8709" max="8709" width="12" style="385" customWidth="1"/>
    <col min="8710" max="8710" width="9.28515625" style="385" customWidth="1"/>
    <col min="8711" max="8711" width="11.5703125" style="385" customWidth="1"/>
    <col min="8712" max="8712" width="9.5703125" style="385" customWidth="1"/>
    <col min="8713" max="8713" width="13.140625" style="385" customWidth="1"/>
    <col min="8714" max="8714" width="10.140625" style="385" customWidth="1"/>
    <col min="8715" max="8716" width="12.140625" style="385" customWidth="1"/>
    <col min="8717" max="8717" width="7.28515625" style="385" customWidth="1"/>
    <col min="8718" max="8724" width="0" style="385" hidden="1" customWidth="1"/>
    <col min="8725" max="8725" width="9.28515625" style="385" bestFit="1" customWidth="1"/>
    <col min="8726" max="8960" width="9.140625" style="385"/>
    <col min="8961" max="8961" width="5.7109375" style="385" customWidth="1"/>
    <col min="8962" max="8962" width="6.85546875" style="385" customWidth="1"/>
    <col min="8963" max="8963" width="47.85546875" style="385" customWidth="1"/>
    <col min="8964" max="8964" width="20.140625" style="385" customWidth="1"/>
    <col min="8965" max="8965" width="12" style="385" customWidth="1"/>
    <col min="8966" max="8966" width="9.28515625" style="385" customWidth="1"/>
    <col min="8967" max="8967" width="11.5703125" style="385" customWidth="1"/>
    <col min="8968" max="8968" width="9.5703125" style="385" customWidth="1"/>
    <col min="8969" max="8969" width="13.140625" style="385" customWidth="1"/>
    <col min="8970" max="8970" width="10.140625" style="385" customWidth="1"/>
    <col min="8971" max="8972" width="12.140625" style="385" customWidth="1"/>
    <col min="8973" max="8973" width="7.28515625" style="385" customWidth="1"/>
    <col min="8974" max="8980" width="0" style="385" hidden="1" customWidth="1"/>
    <col min="8981" max="8981" width="9.28515625" style="385" bestFit="1" customWidth="1"/>
    <col min="8982" max="9216" width="9.140625" style="385"/>
    <col min="9217" max="9217" width="5.7109375" style="385" customWidth="1"/>
    <col min="9218" max="9218" width="6.85546875" style="385" customWidth="1"/>
    <col min="9219" max="9219" width="47.85546875" style="385" customWidth="1"/>
    <col min="9220" max="9220" width="20.140625" style="385" customWidth="1"/>
    <col min="9221" max="9221" width="12" style="385" customWidth="1"/>
    <col min="9222" max="9222" width="9.28515625" style="385" customWidth="1"/>
    <col min="9223" max="9223" width="11.5703125" style="385" customWidth="1"/>
    <col min="9224" max="9224" width="9.5703125" style="385" customWidth="1"/>
    <col min="9225" max="9225" width="13.140625" style="385" customWidth="1"/>
    <col min="9226" max="9226" width="10.140625" style="385" customWidth="1"/>
    <col min="9227" max="9228" width="12.140625" style="385" customWidth="1"/>
    <col min="9229" max="9229" width="7.28515625" style="385" customWidth="1"/>
    <col min="9230" max="9236" width="0" style="385" hidden="1" customWidth="1"/>
    <col min="9237" max="9237" width="9.28515625" style="385" bestFit="1" customWidth="1"/>
    <col min="9238" max="9472" width="9.140625" style="385"/>
    <col min="9473" max="9473" width="5.7109375" style="385" customWidth="1"/>
    <col min="9474" max="9474" width="6.85546875" style="385" customWidth="1"/>
    <col min="9475" max="9475" width="47.85546875" style="385" customWidth="1"/>
    <col min="9476" max="9476" width="20.140625" style="385" customWidth="1"/>
    <col min="9477" max="9477" width="12" style="385" customWidth="1"/>
    <col min="9478" max="9478" width="9.28515625" style="385" customWidth="1"/>
    <col min="9479" max="9479" width="11.5703125" style="385" customWidth="1"/>
    <col min="9480" max="9480" width="9.5703125" style="385" customWidth="1"/>
    <col min="9481" max="9481" width="13.140625" style="385" customWidth="1"/>
    <col min="9482" max="9482" width="10.140625" style="385" customWidth="1"/>
    <col min="9483" max="9484" width="12.140625" style="385" customWidth="1"/>
    <col min="9485" max="9485" width="7.28515625" style="385" customWidth="1"/>
    <col min="9486" max="9492" width="0" style="385" hidden="1" customWidth="1"/>
    <col min="9493" max="9493" width="9.28515625" style="385" bestFit="1" customWidth="1"/>
    <col min="9494" max="9728" width="9.140625" style="385"/>
    <col min="9729" max="9729" width="5.7109375" style="385" customWidth="1"/>
    <col min="9730" max="9730" width="6.85546875" style="385" customWidth="1"/>
    <col min="9731" max="9731" width="47.85546875" style="385" customWidth="1"/>
    <col min="9732" max="9732" width="20.140625" style="385" customWidth="1"/>
    <col min="9733" max="9733" width="12" style="385" customWidth="1"/>
    <col min="9734" max="9734" width="9.28515625" style="385" customWidth="1"/>
    <col min="9735" max="9735" width="11.5703125" style="385" customWidth="1"/>
    <col min="9736" max="9736" width="9.5703125" style="385" customWidth="1"/>
    <col min="9737" max="9737" width="13.140625" style="385" customWidth="1"/>
    <col min="9738" max="9738" width="10.140625" style="385" customWidth="1"/>
    <col min="9739" max="9740" width="12.140625" style="385" customWidth="1"/>
    <col min="9741" max="9741" width="7.28515625" style="385" customWidth="1"/>
    <col min="9742" max="9748" width="0" style="385" hidden="1" customWidth="1"/>
    <col min="9749" max="9749" width="9.28515625" style="385" bestFit="1" customWidth="1"/>
    <col min="9750" max="9984" width="9.140625" style="385"/>
    <col min="9985" max="9985" width="5.7109375" style="385" customWidth="1"/>
    <col min="9986" max="9986" width="6.85546875" style="385" customWidth="1"/>
    <col min="9987" max="9987" width="47.85546875" style="385" customWidth="1"/>
    <col min="9988" max="9988" width="20.140625" style="385" customWidth="1"/>
    <col min="9989" max="9989" width="12" style="385" customWidth="1"/>
    <col min="9990" max="9990" width="9.28515625" style="385" customWidth="1"/>
    <col min="9991" max="9991" width="11.5703125" style="385" customWidth="1"/>
    <col min="9992" max="9992" width="9.5703125" style="385" customWidth="1"/>
    <col min="9993" max="9993" width="13.140625" style="385" customWidth="1"/>
    <col min="9994" max="9994" width="10.140625" style="385" customWidth="1"/>
    <col min="9995" max="9996" width="12.140625" style="385" customWidth="1"/>
    <col min="9997" max="9997" width="7.28515625" style="385" customWidth="1"/>
    <col min="9998" max="10004" width="0" style="385" hidden="1" customWidth="1"/>
    <col min="10005" max="10005" width="9.28515625" style="385" bestFit="1" customWidth="1"/>
    <col min="10006" max="10240" width="9.140625" style="385"/>
    <col min="10241" max="10241" width="5.7109375" style="385" customWidth="1"/>
    <col min="10242" max="10242" width="6.85546875" style="385" customWidth="1"/>
    <col min="10243" max="10243" width="47.85546875" style="385" customWidth="1"/>
    <col min="10244" max="10244" width="20.140625" style="385" customWidth="1"/>
    <col min="10245" max="10245" width="12" style="385" customWidth="1"/>
    <col min="10246" max="10246" width="9.28515625" style="385" customWidth="1"/>
    <col min="10247" max="10247" width="11.5703125" style="385" customWidth="1"/>
    <col min="10248" max="10248" width="9.5703125" style="385" customWidth="1"/>
    <col min="10249" max="10249" width="13.140625" style="385" customWidth="1"/>
    <col min="10250" max="10250" width="10.140625" style="385" customWidth="1"/>
    <col min="10251" max="10252" width="12.140625" style="385" customWidth="1"/>
    <col min="10253" max="10253" width="7.28515625" style="385" customWidth="1"/>
    <col min="10254" max="10260" width="0" style="385" hidden="1" customWidth="1"/>
    <col min="10261" max="10261" width="9.28515625" style="385" bestFit="1" customWidth="1"/>
    <col min="10262" max="10496" width="9.140625" style="385"/>
    <col min="10497" max="10497" width="5.7109375" style="385" customWidth="1"/>
    <col min="10498" max="10498" width="6.85546875" style="385" customWidth="1"/>
    <col min="10499" max="10499" width="47.85546875" style="385" customWidth="1"/>
    <col min="10500" max="10500" width="20.140625" style="385" customWidth="1"/>
    <col min="10501" max="10501" width="12" style="385" customWidth="1"/>
    <col min="10502" max="10502" width="9.28515625" style="385" customWidth="1"/>
    <col min="10503" max="10503" width="11.5703125" style="385" customWidth="1"/>
    <col min="10504" max="10504" width="9.5703125" style="385" customWidth="1"/>
    <col min="10505" max="10505" width="13.140625" style="385" customWidth="1"/>
    <col min="10506" max="10506" width="10.140625" style="385" customWidth="1"/>
    <col min="10507" max="10508" width="12.140625" style="385" customWidth="1"/>
    <col min="10509" max="10509" width="7.28515625" style="385" customWidth="1"/>
    <col min="10510" max="10516" width="0" style="385" hidden="1" customWidth="1"/>
    <col min="10517" max="10517" width="9.28515625" style="385" bestFit="1" customWidth="1"/>
    <col min="10518" max="10752" width="9.140625" style="385"/>
    <col min="10753" max="10753" width="5.7109375" style="385" customWidth="1"/>
    <col min="10754" max="10754" width="6.85546875" style="385" customWidth="1"/>
    <col min="10755" max="10755" width="47.85546875" style="385" customWidth="1"/>
    <col min="10756" max="10756" width="20.140625" style="385" customWidth="1"/>
    <col min="10757" max="10757" width="12" style="385" customWidth="1"/>
    <col min="10758" max="10758" width="9.28515625" style="385" customWidth="1"/>
    <col min="10759" max="10759" width="11.5703125" style="385" customWidth="1"/>
    <col min="10760" max="10760" width="9.5703125" style="385" customWidth="1"/>
    <col min="10761" max="10761" width="13.140625" style="385" customWidth="1"/>
    <col min="10762" max="10762" width="10.140625" style="385" customWidth="1"/>
    <col min="10763" max="10764" width="12.140625" style="385" customWidth="1"/>
    <col min="10765" max="10765" width="7.28515625" style="385" customWidth="1"/>
    <col min="10766" max="10772" width="0" style="385" hidden="1" customWidth="1"/>
    <col min="10773" max="10773" width="9.28515625" style="385" bestFit="1" customWidth="1"/>
    <col min="10774" max="11008" width="9.140625" style="385"/>
    <col min="11009" max="11009" width="5.7109375" style="385" customWidth="1"/>
    <col min="11010" max="11010" width="6.85546875" style="385" customWidth="1"/>
    <col min="11011" max="11011" width="47.85546875" style="385" customWidth="1"/>
    <col min="11012" max="11012" width="20.140625" style="385" customWidth="1"/>
    <col min="11013" max="11013" width="12" style="385" customWidth="1"/>
    <col min="11014" max="11014" width="9.28515625" style="385" customWidth="1"/>
    <col min="11015" max="11015" width="11.5703125" style="385" customWidth="1"/>
    <col min="11016" max="11016" width="9.5703125" style="385" customWidth="1"/>
    <col min="11017" max="11017" width="13.140625" style="385" customWidth="1"/>
    <col min="11018" max="11018" width="10.140625" style="385" customWidth="1"/>
    <col min="11019" max="11020" width="12.140625" style="385" customWidth="1"/>
    <col min="11021" max="11021" width="7.28515625" style="385" customWidth="1"/>
    <col min="11022" max="11028" width="0" style="385" hidden="1" customWidth="1"/>
    <col min="11029" max="11029" width="9.28515625" style="385" bestFit="1" customWidth="1"/>
    <col min="11030" max="11264" width="9.140625" style="385"/>
    <col min="11265" max="11265" width="5.7109375" style="385" customWidth="1"/>
    <col min="11266" max="11266" width="6.85546875" style="385" customWidth="1"/>
    <col min="11267" max="11267" width="47.85546875" style="385" customWidth="1"/>
    <col min="11268" max="11268" width="20.140625" style="385" customWidth="1"/>
    <col min="11269" max="11269" width="12" style="385" customWidth="1"/>
    <col min="11270" max="11270" width="9.28515625" style="385" customWidth="1"/>
    <col min="11271" max="11271" width="11.5703125" style="385" customWidth="1"/>
    <col min="11272" max="11272" width="9.5703125" style="385" customWidth="1"/>
    <col min="11273" max="11273" width="13.140625" style="385" customWidth="1"/>
    <col min="11274" max="11274" width="10.140625" style="385" customWidth="1"/>
    <col min="11275" max="11276" width="12.140625" style="385" customWidth="1"/>
    <col min="11277" max="11277" width="7.28515625" style="385" customWidth="1"/>
    <col min="11278" max="11284" width="0" style="385" hidden="1" customWidth="1"/>
    <col min="11285" max="11285" width="9.28515625" style="385" bestFit="1" customWidth="1"/>
    <col min="11286" max="11520" width="9.140625" style="385"/>
    <col min="11521" max="11521" width="5.7109375" style="385" customWidth="1"/>
    <col min="11522" max="11522" width="6.85546875" style="385" customWidth="1"/>
    <col min="11523" max="11523" width="47.85546875" style="385" customWidth="1"/>
    <col min="11524" max="11524" width="20.140625" style="385" customWidth="1"/>
    <col min="11525" max="11525" width="12" style="385" customWidth="1"/>
    <col min="11526" max="11526" width="9.28515625" style="385" customWidth="1"/>
    <col min="11527" max="11527" width="11.5703125" style="385" customWidth="1"/>
    <col min="11528" max="11528" width="9.5703125" style="385" customWidth="1"/>
    <col min="11529" max="11529" width="13.140625" style="385" customWidth="1"/>
    <col min="11530" max="11530" width="10.140625" style="385" customWidth="1"/>
    <col min="11531" max="11532" width="12.140625" style="385" customWidth="1"/>
    <col min="11533" max="11533" width="7.28515625" style="385" customWidth="1"/>
    <col min="11534" max="11540" width="0" style="385" hidden="1" customWidth="1"/>
    <col min="11541" max="11541" width="9.28515625" style="385" bestFit="1" customWidth="1"/>
    <col min="11542" max="11776" width="9.140625" style="385"/>
    <col min="11777" max="11777" width="5.7109375" style="385" customWidth="1"/>
    <col min="11778" max="11778" width="6.85546875" style="385" customWidth="1"/>
    <col min="11779" max="11779" width="47.85546875" style="385" customWidth="1"/>
    <col min="11780" max="11780" width="20.140625" style="385" customWidth="1"/>
    <col min="11781" max="11781" width="12" style="385" customWidth="1"/>
    <col min="11782" max="11782" width="9.28515625" style="385" customWidth="1"/>
    <col min="11783" max="11783" width="11.5703125" style="385" customWidth="1"/>
    <col min="11784" max="11784" width="9.5703125" style="385" customWidth="1"/>
    <col min="11785" max="11785" width="13.140625" style="385" customWidth="1"/>
    <col min="11786" max="11786" width="10.140625" style="385" customWidth="1"/>
    <col min="11787" max="11788" width="12.140625" style="385" customWidth="1"/>
    <col min="11789" max="11789" width="7.28515625" style="385" customWidth="1"/>
    <col min="11790" max="11796" width="0" style="385" hidden="1" customWidth="1"/>
    <col min="11797" max="11797" width="9.28515625" style="385" bestFit="1" customWidth="1"/>
    <col min="11798" max="12032" width="9.140625" style="385"/>
    <col min="12033" max="12033" width="5.7109375" style="385" customWidth="1"/>
    <col min="12034" max="12034" width="6.85546875" style="385" customWidth="1"/>
    <col min="12035" max="12035" width="47.85546875" style="385" customWidth="1"/>
    <col min="12036" max="12036" width="20.140625" style="385" customWidth="1"/>
    <col min="12037" max="12037" width="12" style="385" customWidth="1"/>
    <col min="12038" max="12038" width="9.28515625" style="385" customWidth="1"/>
    <col min="12039" max="12039" width="11.5703125" style="385" customWidth="1"/>
    <col min="12040" max="12040" width="9.5703125" style="385" customWidth="1"/>
    <col min="12041" max="12041" width="13.140625" style="385" customWidth="1"/>
    <col min="12042" max="12042" width="10.140625" style="385" customWidth="1"/>
    <col min="12043" max="12044" width="12.140625" style="385" customWidth="1"/>
    <col min="12045" max="12045" width="7.28515625" style="385" customWidth="1"/>
    <col min="12046" max="12052" width="0" style="385" hidden="1" customWidth="1"/>
    <col min="12053" max="12053" width="9.28515625" style="385" bestFit="1" customWidth="1"/>
    <col min="12054" max="12288" width="9.140625" style="385"/>
    <col min="12289" max="12289" width="5.7109375" style="385" customWidth="1"/>
    <col min="12290" max="12290" width="6.85546875" style="385" customWidth="1"/>
    <col min="12291" max="12291" width="47.85546875" style="385" customWidth="1"/>
    <col min="12292" max="12292" width="20.140625" style="385" customWidth="1"/>
    <col min="12293" max="12293" width="12" style="385" customWidth="1"/>
    <col min="12294" max="12294" width="9.28515625" style="385" customWidth="1"/>
    <col min="12295" max="12295" width="11.5703125" style="385" customWidth="1"/>
    <col min="12296" max="12296" width="9.5703125" style="385" customWidth="1"/>
    <col min="12297" max="12297" width="13.140625" style="385" customWidth="1"/>
    <col min="12298" max="12298" width="10.140625" style="385" customWidth="1"/>
    <col min="12299" max="12300" width="12.140625" style="385" customWidth="1"/>
    <col min="12301" max="12301" width="7.28515625" style="385" customWidth="1"/>
    <col min="12302" max="12308" width="0" style="385" hidden="1" customWidth="1"/>
    <col min="12309" max="12309" width="9.28515625" style="385" bestFit="1" customWidth="1"/>
    <col min="12310" max="12544" width="9.140625" style="385"/>
    <col min="12545" max="12545" width="5.7109375" style="385" customWidth="1"/>
    <col min="12546" max="12546" width="6.85546875" style="385" customWidth="1"/>
    <col min="12547" max="12547" width="47.85546875" style="385" customWidth="1"/>
    <col min="12548" max="12548" width="20.140625" style="385" customWidth="1"/>
    <col min="12549" max="12549" width="12" style="385" customWidth="1"/>
    <col min="12550" max="12550" width="9.28515625" style="385" customWidth="1"/>
    <col min="12551" max="12551" width="11.5703125" style="385" customWidth="1"/>
    <col min="12552" max="12552" width="9.5703125" style="385" customWidth="1"/>
    <col min="12553" max="12553" width="13.140625" style="385" customWidth="1"/>
    <col min="12554" max="12554" width="10.140625" style="385" customWidth="1"/>
    <col min="12555" max="12556" width="12.140625" style="385" customWidth="1"/>
    <col min="12557" max="12557" width="7.28515625" style="385" customWidth="1"/>
    <col min="12558" max="12564" width="0" style="385" hidden="1" customWidth="1"/>
    <col min="12565" max="12565" width="9.28515625" style="385" bestFit="1" customWidth="1"/>
    <col min="12566" max="12800" width="9.140625" style="385"/>
    <col min="12801" max="12801" width="5.7109375" style="385" customWidth="1"/>
    <col min="12802" max="12802" width="6.85546875" style="385" customWidth="1"/>
    <col min="12803" max="12803" width="47.85546875" style="385" customWidth="1"/>
    <col min="12804" max="12804" width="20.140625" style="385" customWidth="1"/>
    <col min="12805" max="12805" width="12" style="385" customWidth="1"/>
    <col min="12806" max="12806" width="9.28515625" style="385" customWidth="1"/>
    <col min="12807" max="12807" width="11.5703125" style="385" customWidth="1"/>
    <col min="12808" max="12808" width="9.5703125" style="385" customWidth="1"/>
    <col min="12809" max="12809" width="13.140625" style="385" customWidth="1"/>
    <col min="12810" max="12810" width="10.140625" style="385" customWidth="1"/>
    <col min="12811" max="12812" width="12.140625" style="385" customWidth="1"/>
    <col min="12813" max="12813" width="7.28515625" style="385" customWidth="1"/>
    <col min="12814" max="12820" width="0" style="385" hidden="1" customWidth="1"/>
    <col min="12821" max="12821" width="9.28515625" style="385" bestFit="1" customWidth="1"/>
    <col min="12822" max="13056" width="9.140625" style="385"/>
    <col min="13057" max="13057" width="5.7109375" style="385" customWidth="1"/>
    <col min="13058" max="13058" width="6.85546875" style="385" customWidth="1"/>
    <col min="13059" max="13059" width="47.85546875" style="385" customWidth="1"/>
    <col min="13060" max="13060" width="20.140625" style="385" customWidth="1"/>
    <col min="13061" max="13061" width="12" style="385" customWidth="1"/>
    <col min="13062" max="13062" width="9.28515625" style="385" customWidth="1"/>
    <col min="13063" max="13063" width="11.5703125" style="385" customWidth="1"/>
    <col min="13064" max="13064" width="9.5703125" style="385" customWidth="1"/>
    <col min="13065" max="13065" width="13.140625" style="385" customWidth="1"/>
    <col min="13066" max="13066" width="10.140625" style="385" customWidth="1"/>
    <col min="13067" max="13068" width="12.140625" style="385" customWidth="1"/>
    <col min="13069" max="13069" width="7.28515625" style="385" customWidth="1"/>
    <col min="13070" max="13076" width="0" style="385" hidden="1" customWidth="1"/>
    <col min="13077" max="13077" width="9.28515625" style="385" bestFit="1" customWidth="1"/>
    <col min="13078" max="13312" width="9.140625" style="385"/>
    <col min="13313" max="13313" width="5.7109375" style="385" customWidth="1"/>
    <col min="13314" max="13314" width="6.85546875" style="385" customWidth="1"/>
    <col min="13315" max="13315" width="47.85546875" style="385" customWidth="1"/>
    <col min="13316" max="13316" width="20.140625" style="385" customWidth="1"/>
    <col min="13317" max="13317" width="12" style="385" customWidth="1"/>
    <col min="13318" max="13318" width="9.28515625" style="385" customWidth="1"/>
    <col min="13319" max="13319" width="11.5703125" style="385" customWidth="1"/>
    <col min="13320" max="13320" width="9.5703125" style="385" customWidth="1"/>
    <col min="13321" max="13321" width="13.140625" style="385" customWidth="1"/>
    <col min="13322" max="13322" width="10.140625" style="385" customWidth="1"/>
    <col min="13323" max="13324" width="12.140625" style="385" customWidth="1"/>
    <col min="13325" max="13325" width="7.28515625" style="385" customWidth="1"/>
    <col min="13326" max="13332" width="0" style="385" hidden="1" customWidth="1"/>
    <col min="13333" max="13333" width="9.28515625" style="385" bestFit="1" customWidth="1"/>
    <col min="13334" max="13568" width="9.140625" style="385"/>
    <col min="13569" max="13569" width="5.7109375" style="385" customWidth="1"/>
    <col min="13570" max="13570" width="6.85546875" style="385" customWidth="1"/>
    <col min="13571" max="13571" width="47.85546875" style="385" customWidth="1"/>
    <col min="13572" max="13572" width="20.140625" style="385" customWidth="1"/>
    <col min="13573" max="13573" width="12" style="385" customWidth="1"/>
    <col min="13574" max="13574" width="9.28515625" style="385" customWidth="1"/>
    <col min="13575" max="13575" width="11.5703125" style="385" customWidth="1"/>
    <col min="13576" max="13576" width="9.5703125" style="385" customWidth="1"/>
    <col min="13577" max="13577" width="13.140625" style="385" customWidth="1"/>
    <col min="13578" max="13578" width="10.140625" style="385" customWidth="1"/>
    <col min="13579" max="13580" width="12.140625" style="385" customWidth="1"/>
    <col min="13581" max="13581" width="7.28515625" style="385" customWidth="1"/>
    <col min="13582" max="13588" width="0" style="385" hidden="1" customWidth="1"/>
    <col min="13589" max="13589" width="9.28515625" style="385" bestFit="1" customWidth="1"/>
    <col min="13590" max="13824" width="9.140625" style="385"/>
    <col min="13825" max="13825" width="5.7109375" style="385" customWidth="1"/>
    <col min="13826" max="13826" width="6.85546875" style="385" customWidth="1"/>
    <col min="13827" max="13827" width="47.85546875" style="385" customWidth="1"/>
    <col min="13828" max="13828" width="20.140625" style="385" customWidth="1"/>
    <col min="13829" max="13829" width="12" style="385" customWidth="1"/>
    <col min="13830" max="13830" width="9.28515625" style="385" customWidth="1"/>
    <col min="13831" max="13831" width="11.5703125" style="385" customWidth="1"/>
    <col min="13832" max="13832" width="9.5703125" style="385" customWidth="1"/>
    <col min="13833" max="13833" width="13.140625" style="385" customWidth="1"/>
    <col min="13834" max="13834" width="10.140625" style="385" customWidth="1"/>
    <col min="13835" max="13836" width="12.140625" style="385" customWidth="1"/>
    <col min="13837" max="13837" width="7.28515625" style="385" customWidth="1"/>
    <col min="13838" max="13844" width="0" style="385" hidden="1" customWidth="1"/>
    <col min="13845" max="13845" width="9.28515625" style="385" bestFit="1" customWidth="1"/>
    <col min="13846" max="14080" width="9.140625" style="385"/>
    <col min="14081" max="14081" width="5.7109375" style="385" customWidth="1"/>
    <col min="14082" max="14082" width="6.85546875" style="385" customWidth="1"/>
    <col min="14083" max="14083" width="47.85546875" style="385" customWidth="1"/>
    <col min="14084" max="14084" width="20.140625" style="385" customWidth="1"/>
    <col min="14085" max="14085" width="12" style="385" customWidth="1"/>
    <col min="14086" max="14086" width="9.28515625" style="385" customWidth="1"/>
    <col min="14087" max="14087" width="11.5703125" style="385" customWidth="1"/>
    <col min="14088" max="14088" width="9.5703125" style="385" customWidth="1"/>
    <col min="14089" max="14089" width="13.140625" style="385" customWidth="1"/>
    <col min="14090" max="14090" width="10.140625" style="385" customWidth="1"/>
    <col min="14091" max="14092" width="12.140625" style="385" customWidth="1"/>
    <col min="14093" max="14093" width="7.28515625" style="385" customWidth="1"/>
    <col min="14094" max="14100" width="0" style="385" hidden="1" customWidth="1"/>
    <col min="14101" max="14101" width="9.28515625" style="385" bestFit="1" customWidth="1"/>
    <col min="14102" max="14336" width="9.140625" style="385"/>
    <col min="14337" max="14337" width="5.7109375" style="385" customWidth="1"/>
    <col min="14338" max="14338" width="6.85546875" style="385" customWidth="1"/>
    <col min="14339" max="14339" width="47.85546875" style="385" customWidth="1"/>
    <col min="14340" max="14340" width="20.140625" style="385" customWidth="1"/>
    <col min="14341" max="14341" width="12" style="385" customWidth="1"/>
    <col min="14342" max="14342" width="9.28515625" style="385" customWidth="1"/>
    <col min="14343" max="14343" width="11.5703125" style="385" customWidth="1"/>
    <col min="14344" max="14344" width="9.5703125" style="385" customWidth="1"/>
    <col min="14345" max="14345" width="13.140625" style="385" customWidth="1"/>
    <col min="14346" max="14346" width="10.140625" style="385" customWidth="1"/>
    <col min="14347" max="14348" width="12.140625" style="385" customWidth="1"/>
    <col min="14349" max="14349" width="7.28515625" style="385" customWidth="1"/>
    <col min="14350" max="14356" width="0" style="385" hidden="1" customWidth="1"/>
    <col min="14357" max="14357" width="9.28515625" style="385" bestFit="1" customWidth="1"/>
    <col min="14358" max="14592" width="9.140625" style="385"/>
    <col min="14593" max="14593" width="5.7109375" style="385" customWidth="1"/>
    <col min="14594" max="14594" width="6.85546875" style="385" customWidth="1"/>
    <col min="14595" max="14595" width="47.85546875" style="385" customWidth="1"/>
    <col min="14596" max="14596" width="20.140625" style="385" customWidth="1"/>
    <col min="14597" max="14597" width="12" style="385" customWidth="1"/>
    <col min="14598" max="14598" width="9.28515625" style="385" customWidth="1"/>
    <col min="14599" max="14599" width="11.5703125" style="385" customWidth="1"/>
    <col min="14600" max="14600" width="9.5703125" style="385" customWidth="1"/>
    <col min="14601" max="14601" width="13.140625" style="385" customWidth="1"/>
    <col min="14602" max="14602" width="10.140625" style="385" customWidth="1"/>
    <col min="14603" max="14604" width="12.140625" style="385" customWidth="1"/>
    <col min="14605" max="14605" width="7.28515625" style="385" customWidth="1"/>
    <col min="14606" max="14612" width="0" style="385" hidden="1" customWidth="1"/>
    <col min="14613" max="14613" width="9.28515625" style="385" bestFit="1" customWidth="1"/>
    <col min="14614" max="14848" width="9.140625" style="385"/>
    <col min="14849" max="14849" width="5.7109375" style="385" customWidth="1"/>
    <col min="14850" max="14850" width="6.85546875" style="385" customWidth="1"/>
    <col min="14851" max="14851" width="47.85546875" style="385" customWidth="1"/>
    <col min="14852" max="14852" width="20.140625" style="385" customWidth="1"/>
    <col min="14853" max="14853" width="12" style="385" customWidth="1"/>
    <col min="14854" max="14854" width="9.28515625" style="385" customWidth="1"/>
    <col min="14855" max="14855" width="11.5703125" style="385" customWidth="1"/>
    <col min="14856" max="14856" width="9.5703125" style="385" customWidth="1"/>
    <col min="14857" max="14857" width="13.140625" style="385" customWidth="1"/>
    <col min="14858" max="14858" width="10.140625" style="385" customWidth="1"/>
    <col min="14859" max="14860" width="12.140625" style="385" customWidth="1"/>
    <col min="14861" max="14861" width="7.28515625" style="385" customWidth="1"/>
    <col min="14862" max="14868" width="0" style="385" hidden="1" customWidth="1"/>
    <col min="14869" max="14869" width="9.28515625" style="385" bestFit="1" customWidth="1"/>
    <col min="14870" max="15104" width="9.140625" style="385"/>
    <col min="15105" max="15105" width="5.7109375" style="385" customWidth="1"/>
    <col min="15106" max="15106" width="6.85546875" style="385" customWidth="1"/>
    <col min="15107" max="15107" width="47.85546875" style="385" customWidth="1"/>
    <col min="15108" max="15108" width="20.140625" style="385" customWidth="1"/>
    <col min="15109" max="15109" width="12" style="385" customWidth="1"/>
    <col min="15110" max="15110" width="9.28515625" style="385" customWidth="1"/>
    <col min="15111" max="15111" width="11.5703125" style="385" customWidth="1"/>
    <col min="15112" max="15112" width="9.5703125" style="385" customWidth="1"/>
    <col min="15113" max="15113" width="13.140625" style="385" customWidth="1"/>
    <col min="15114" max="15114" width="10.140625" style="385" customWidth="1"/>
    <col min="15115" max="15116" width="12.140625" style="385" customWidth="1"/>
    <col min="15117" max="15117" width="7.28515625" style="385" customWidth="1"/>
    <col min="15118" max="15124" width="0" style="385" hidden="1" customWidth="1"/>
    <col min="15125" max="15125" width="9.28515625" style="385" bestFit="1" customWidth="1"/>
    <col min="15126" max="15360" width="9.140625" style="385"/>
    <col min="15361" max="15361" width="5.7109375" style="385" customWidth="1"/>
    <col min="15362" max="15362" width="6.85546875" style="385" customWidth="1"/>
    <col min="15363" max="15363" width="47.85546875" style="385" customWidth="1"/>
    <col min="15364" max="15364" width="20.140625" style="385" customWidth="1"/>
    <col min="15365" max="15365" width="12" style="385" customWidth="1"/>
    <col min="15366" max="15366" width="9.28515625" style="385" customWidth="1"/>
    <col min="15367" max="15367" width="11.5703125" style="385" customWidth="1"/>
    <col min="15368" max="15368" width="9.5703125" style="385" customWidth="1"/>
    <col min="15369" max="15369" width="13.140625" style="385" customWidth="1"/>
    <col min="15370" max="15370" width="10.140625" style="385" customWidth="1"/>
    <col min="15371" max="15372" width="12.140625" style="385" customWidth="1"/>
    <col min="15373" max="15373" width="7.28515625" style="385" customWidth="1"/>
    <col min="15374" max="15380" width="0" style="385" hidden="1" customWidth="1"/>
    <col min="15381" max="15381" width="9.28515625" style="385" bestFit="1" customWidth="1"/>
    <col min="15382" max="15616" width="9.140625" style="385"/>
    <col min="15617" max="15617" width="5.7109375" style="385" customWidth="1"/>
    <col min="15618" max="15618" width="6.85546875" style="385" customWidth="1"/>
    <col min="15619" max="15619" width="47.85546875" style="385" customWidth="1"/>
    <col min="15620" max="15620" width="20.140625" style="385" customWidth="1"/>
    <col min="15621" max="15621" width="12" style="385" customWidth="1"/>
    <col min="15622" max="15622" width="9.28515625" style="385" customWidth="1"/>
    <col min="15623" max="15623" width="11.5703125" style="385" customWidth="1"/>
    <col min="15624" max="15624" width="9.5703125" style="385" customWidth="1"/>
    <col min="15625" max="15625" width="13.140625" style="385" customWidth="1"/>
    <col min="15626" max="15626" width="10.140625" style="385" customWidth="1"/>
    <col min="15627" max="15628" width="12.140625" style="385" customWidth="1"/>
    <col min="15629" max="15629" width="7.28515625" style="385" customWidth="1"/>
    <col min="15630" max="15636" width="0" style="385" hidden="1" customWidth="1"/>
    <col min="15637" max="15637" width="9.28515625" style="385" bestFit="1" customWidth="1"/>
    <col min="15638" max="15872" width="9.140625" style="385"/>
    <col min="15873" max="15873" width="5.7109375" style="385" customWidth="1"/>
    <col min="15874" max="15874" width="6.85546875" style="385" customWidth="1"/>
    <col min="15875" max="15875" width="47.85546875" style="385" customWidth="1"/>
    <col min="15876" max="15876" width="20.140625" style="385" customWidth="1"/>
    <col min="15877" max="15877" width="12" style="385" customWidth="1"/>
    <col min="15878" max="15878" width="9.28515625" style="385" customWidth="1"/>
    <col min="15879" max="15879" width="11.5703125" style="385" customWidth="1"/>
    <col min="15880" max="15880" width="9.5703125" style="385" customWidth="1"/>
    <col min="15881" max="15881" width="13.140625" style="385" customWidth="1"/>
    <col min="15882" max="15882" width="10.140625" style="385" customWidth="1"/>
    <col min="15883" max="15884" width="12.140625" style="385" customWidth="1"/>
    <col min="15885" max="15885" width="7.28515625" style="385" customWidth="1"/>
    <col min="15886" max="15892" width="0" style="385" hidden="1" customWidth="1"/>
    <col min="15893" max="15893" width="9.28515625" style="385" bestFit="1" customWidth="1"/>
    <col min="15894" max="16128" width="9.140625" style="385"/>
    <col min="16129" max="16129" width="5.7109375" style="385" customWidth="1"/>
    <col min="16130" max="16130" width="6.85546875" style="385" customWidth="1"/>
    <col min="16131" max="16131" width="47.85546875" style="385" customWidth="1"/>
    <col min="16132" max="16132" width="20.140625" style="385" customWidth="1"/>
    <col min="16133" max="16133" width="12" style="385" customWidth="1"/>
    <col min="16134" max="16134" width="9.28515625" style="385" customWidth="1"/>
    <col min="16135" max="16135" width="11.5703125" style="385" customWidth="1"/>
    <col min="16136" max="16136" width="9.5703125" style="385" customWidth="1"/>
    <col min="16137" max="16137" width="13.140625" style="385" customWidth="1"/>
    <col min="16138" max="16138" width="10.140625" style="385" customWidth="1"/>
    <col min="16139" max="16140" width="12.140625" style="385" customWidth="1"/>
    <col min="16141" max="16141" width="7.28515625" style="385" customWidth="1"/>
    <col min="16142" max="16148" width="0" style="385" hidden="1" customWidth="1"/>
    <col min="16149" max="16149" width="9.28515625" style="385" bestFit="1" customWidth="1"/>
    <col min="16150" max="16384" width="9.140625" style="385"/>
  </cols>
  <sheetData>
    <row r="1" spans="1:21" ht="23.25" x14ac:dyDescent="0.35">
      <c r="A1" s="596" t="s">
        <v>1020</v>
      </c>
      <c r="B1" s="596"/>
      <c r="C1" s="596"/>
      <c r="D1" s="596"/>
      <c r="E1" s="596"/>
      <c r="F1" s="596"/>
      <c r="G1" s="596"/>
      <c r="H1" s="596"/>
      <c r="I1" s="596"/>
      <c r="J1" s="596"/>
      <c r="K1" s="596"/>
      <c r="L1" s="596"/>
      <c r="M1" s="596"/>
      <c r="N1" s="384"/>
    </row>
    <row r="2" spans="1:21" x14ac:dyDescent="0.3">
      <c r="A2" s="386"/>
      <c r="B2" s="386"/>
      <c r="C2" s="386"/>
      <c r="D2" s="387"/>
      <c r="E2" s="386"/>
      <c r="F2" s="386"/>
      <c r="G2" s="386"/>
      <c r="H2" s="386"/>
      <c r="I2" s="387"/>
      <c r="J2" s="386"/>
      <c r="K2" s="386"/>
      <c r="L2" s="386"/>
      <c r="M2" s="386"/>
    </row>
    <row r="3" spans="1:21" ht="16.5" customHeight="1" thickBot="1" x14ac:dyDescent="0.35">
      <c r="A3" s="388"/>
      <c r="B3" s="388"/>
      <c r="C3" s="388"/>
      <c r="D3" s="389"/>
      <c r="E3" s="390"/>
      <c r="F3" s="390"/>
      <c r="G3" s="390"/>
      <c r="H3" s="390"/>
      <c r="I3" s="391"/>
      <c r="J3" s="386"/>
      <c r="K3" s="392"/>
      <c r="L3" s="393"/>
      <c r="M3" s="393"/>
      <c r="N3" s="392"/>
      <c r="O3" s="394"/>
      <c r="P3" s="394"/>
    </row>
    <row r="4" spans="1:21" ht="20.25" thickTop="1" thickBot="1" x14ac:dyDescent="0.35">
      <c r="A4" s="597"/>
      <c r="B4" s="597" t="s">
        <v>1021</v>
      </c>
      <c r="C4" s="600" t="s">
        <v>1089</v>
      </c>
      <c r="D4" s="603">
        <v>2018</v>
      </c>
      <c r="E4" s="604"/>
      <c r="F4" s="604"/>
      <c r="G4" s="604"/>
      <c r="H4" s="604"/>
      <c r="I4" s="604"/>
      <c r="J4" s="604"/>
      <c r="K4" s="604"/>
      <c r="L4" s="605"/>
      <c r="M4" s="395"/>
      <c r="P4" s="396"/>
      <c r="Q4" s="396"/>
    </row>
    <row r="5" spans="1:21" ht="27" customHeight="1" thickBot="1" x14ac:dyDescent="0.35">
      <c r="A5" s="598"/>
      <c r="B5" s="598"/>
      <c r="C5" s="601"/>
      <c r="D5" s="606" t="s">
        <v>1022</v>
      </c>
      <c r="E5" s="608" t="s">
        <v>1023</v>
      </c>
      <c r="F5" s="609"/>
      <c r="G5" s="610" t="s">
        <v>1024</v>
      </c>
      <c r="H5" s="611"/>
      <c r="I5" s="610" t="s">
        <v>1025</v>
      </c>
      <c r="J5" s="611"/>
      <c r="K5" s="610" t="s">
        <v>1026</v>
      </c>
      <c r="L5" s="612"/>
      <c r="M5" s="397"/>
      <c r="N5" s="386"/>
      <c r="O5" s="386"/>
      <c r="P5" s="398">
        <v>2012</v>
      </c>
      <c r="Q5" s="398">
        <v>2012</v>
      </c>
    </row>
    <row r="6" spans="1:21" ht="27" customHeight="1" thickBot="1" x14ac:dyDescent="0.35">
      <c r="A6" s="599"/>
      <c r="B6" s="599"/>
      <c r="C6" s="602"/>
      <c r="D6" s="607"/>
      <c r="E6" s="399" t="s">
        <v>1027</v>
      </c>
      <c r="F6" s="399" t="s">
        <v>1028</v>
      </c>
      <c r="G6" s="400" t="s">
        <v>1027</v>
      </c>
      <c r="H6" s="399" t="s">
        <v>1028</v>
      </c>
      <c r="I6" s="400" t="s">
        <v>1027</v>
      </c>
      <c r="J6" s="400" t="s">
        <v>1028</v>
      </c>
      <c r="K6" s="400" t="s">
        <v>1027</v>
      </c>
      <c r="L6" s="401" t="s">
        <v>1028</v>
      </c>
      <c r="M6" s="402"/>
      <c r="N6" s="397" t="s">
        <v>1029</v>
      </c>
      <c r="O6" s="397" t="s">
        <v>1030</v>
      </c>
      <c r="P6" s="398" t="s">
        <v>1027</v>
      </c>
      <c r="Q6" s="398" t="s">
        <v>1028</v>
      </c>
    </row>
    <row r="7" spans="1:21" ht="27" hidden="1" customHeight="1" x14ac:dyDescent="0.3">
      <c r="A7" s="403"/>
      <c r="B7" s="404">
        <v>1</v>
      </c>
      <c r="C7" s="405" t="s">
        <v>1031</v>
      </c>
      <c r="D7" s="406">
        <f>+'[3]תקציב 2016-2018'!I6</f>
        <v>13800</v>
      </c>
      <c r="E7" s="407" t="e">
        <f>#N/A</f>
        <v>#N/A</v>
      </c>
      <c r="F7" s="408">
        <f>$N$7*$F$16</f>
        <v>0</v>
      </c>
      <c r="G7" s="407" t="e">
        <f>#N/A</f>
        <v>#N/A</v>
      </c>
      <c r="H7" s="408" t="e">
        <f>#N/A</f>
        <v>#N/A</v>
      </c>
      <c r="I7" s="407" t="e">
        <f>#N/A</f>
        <v>#N/A</v>
      </c>
      <c r="J7" s="409">
        <f>$N$7*$J$16</f>
        <v>0</v>
      </c>
      <c r="K7" s="407" t="e">
        <f>#N/A</f>
        <v>#N/A</v>
      </c>
      <c r="L7" s="410" t="e">
        <f>#N/A</f>
        <v>#N/A</v>
      </c>
      <c r="M7" s="411"/>
      <c r="N7" s="412">
        <v>0</v>
      </c>
      <c r="O7" s="412"/>
      <c r="P7" s="413" t="e">
        <f>#N/A</f>
        <v>#N/A</v>
      </c>
      <c r="Q7" s="413" t="e">
        <f>#N/A</f>
        <v>#N/A</v>
      </c>
    </row>
    <row r="8" spans="1:21" ht="27" hidden="1" customHeight="1" x14ac:dyDescent="0.3">
      <c r="A8" s="613" t="s">
        <v>1032</v>
      </c>
      <c r="B8" s="414">
        <v>2</v>
      </c>
      <c r="C8" s="415" t="s">
        <v>1033</v>
      </c>
      <c r="D8" s="416">
        <f>+'[3]תקציב 2016-2018'!I28</f>
        <v>9737</v>
      </c>
      <c r="E8" s="417" t="e">
        <f>#N/A</f>
        <v>#N/A</v>
      </c>
      <c r="F8" s="418">
        <f>$N$8*$F$16</f>
        <v>0</v>
      </c>
      <c r="G8" s="417" t="e">
        <f>#N/A</f>
        <v>#N/A</v>
      </c>
      <c r="H8" s="418" t="e">
        <f>#N/A</f>
        <v>#N/A</v>
      </c>
      <c r="I8" s="417" t="e">
        <f>#N/A</f>
        <v>#N/A</v>
      </c>
      <c r="J8" s="419">
        <f>$N$8*$J$16</f>
        <v>0</v>
      </c>
      <c r="K8" s="417" t="e">
        <f>#N/A</f>
        <v>#N/A</v>
      </c>
      <c r="L8" s="420" t="e">
        <f>#N/A</f>
        <v>#N/A</v>
      </c>
      <c r="M8" s="411"/>
      <c r="N8" s="412">
        <v>0.15</v>
      </c>
      <c r="O8" s="412"/>
      <c r="P8" s="413" t="e">
        <f>#N/A</f>
        <v>#N/A</v>
      </c>
      <c r="Q8" s="413" t="e">
        <f>#N/A</f>
        <v>#N/A</v>
      </c>
    </row>
    <row r="9" spans="1:21" ht="27" hidden="1" customHeight="1" x14ac:dyDescent="0.3">
      <c r="A9" s="614"/>
      <c r="B9" s="421">
        <v>3</v>
      </c>
      <c r="C9" s="422" t="s">
        <v>1034</v>
      </c>
      <c r="D9" s="423">
        <f>+'[3]תקציב 2016-2018'!I29</f>
        <v>14011</v>
      </c>
      <c r="E9" s="424" t="e">
        <f>#N/A</f>
        <v>#N/A</v>
      </c>
      <c r="F9" s="425">
        <f>$N$9*$F$16</f>
        <v>0</v>
      </c>
      <c r="G9" s="424" t="e">
        <f>#N/A</f>
        <v>#N/A</v>
      </c>
      <c r="H9" s="425" t="e">
        <f>#N/A</f>
        <v>#N/A</v>
      </c>
      <c r="I9" s="424" t="e">
        <f>#N/A</f>
        <v>#N/A</v>
      </c>
      <c r="J9" s="426">
        <f>$N$9*$J$16</f>
        <v>0</v>
      </c>
      <c r="K9" s="424" t="e">
        <f>#N/A</f>
        <v>#N/A</v>
      </c>
      <c r="L9" s="427" t="e">
        <f>#N/A</f>
        <v>#N/A</v>
      </c>
      <c r="M9" s="411"/>
      <c r="N9" s="412">
        <v>0.25</v>
      </c>
      <c r="O9" s="412"/>
      <c r="P9" s="413" t="e">
        <f>#N/A</f>
        <v>#N/A</v>
      </c>
      <c r="Q9" s="413" t="e">
        <f>#N/A</f>
        <v>#N/A</v>
      </c>
    </row>
    <row r="10" spans="1:21" ht="27" hidden="1" customHeight="1" x14ac:dyDescent="0.3">
      <c r="A10" s="614"/>
      <c r="B10" s="428">
        <v>4</v>
      </c>
      <c r="C10" s="429" t="s">
        <v>1035</v>
      </c>
      <c r="D10" s="430">
        <f>+'[3]תקציב 2016-2018'!I34-'[3]תקציב 2016-2018'!I12-'[3]תקציב 2016-2018'!I8</f>
        <v>5525</v>
      </c>
      <c r="E10" s="424" t="e">
        <f>#N/A</f>
        <v>#N/A</v>
      </c>
      <c r="F10" s="425">
        <f>$N$10*$F$16</f>
        <v>0</v>
      </c>
      <c r="G10" s="424" t="e">
        <f>#N/A</f>
        <v>#N/A</v>
      </c>
      <c r="H10" s="425" t="e">
        <f>#N/A</f>
        <v>#N/A</v>
      </c>
      <c r="I10" s="424" t="e">
        <f>#N/A</f>
        <v>#N/A</v>
      </c>
      <c r="J10" s="426">
        <f>$N$10*$J$16</f>
        <v>0</v>
      </c>
      <c r="K10" s="424" t="e">
        <f>#N/A</f>
        <v>#N/A</v>
      </c>
      <c r="L10" s="427" t="e">
        <f>#N/A</f>
        <v>#N/A</v>
      </c>
      <c r="M10" s="411"/>
      <c r="N10" s="412">
        <v>0.15</v>
      </c>
      <c r="O10" s="412"/>
      <c r="P10" s="413" t="e">
        <f>#N/A</f>
        <v>#N/A</v>
      </c>
      <c r="Q10" s="413" t="e">
        <f>#N/A</f>
        <v>#N/A</v>
      </c>
    </row>
    <row r="11" spans="1:21" ht="27" hidden="1" customHeight="1" x14ac:dyDescent="0.3">
      <c r="A11" s="614"/>
      <c r="B11" s="431">
        <v>5</v>
      </c>
      <c r="C11" s="432" t="s">
        <v>1036</v>
      </c>
      <c r="D11" s="433">
        <f>+'[3]תקציב 2016-2018'!I37-'[3]תקציב 2016-2018'!I13-'[3]תקציב 2016-2018'!I9</f>
        <v>2711</v>
      </c>
      <c r="E11" s="434" t="e">
        <f>#N/A</f>
        <v>#N/A</v>
      </c>
      <c r="F11" s="425">
        <f>$N$11*$F$16</f>
        <v>0</v>
      </c>
      <c r="G11" s="424" t="e">
        <f>#N/A</f>
        <v>#N/A</v>
      </c>
      <c r="H11" s="425" t="e">
        <f>#N/A</f>
        <v>#N/A</v>
      </c>
      <c r="I11" s="424" t="e">
        <f>#N/A</f>
        <v>#N/A</v>
      </c>
      <c r="J11" s="426">
        <f>$N$11*$J$16</f>
        <v>0</v>
      </c>
      <c r="K11" s="424" t="e">
        <f>#N/A</f>
        <v>#N/A</v>
      </c>
      <c r="L11" s="427" t="e">
        <f>#N/A</f>
        <v>#N/A</v>
      </c>
      <c r="M11" s="411"/>
      <c r="N11" s="412">
        <v>0.05</v>
      </c>
      <c r="O11" s="412"/>
      <c r="P11" s="413" t="e">
        <f>#N/A</f>
        <v>#N/A</v>
      </c>
      <c r="Q11" s="413" t="e">
        <f>#N/A</f>
        <v>#N/A</v>
      </c>
    </row>
    <row r="12" spans="1:21" ht="27" customHeight="1" thickBot="1" x14ac:dyDescent="0.35">
      <c r="A12" s="615"/>
      <c r="B12" s="435">
        <v>1</v>
      </c>
      <c r="C12" s="436" t="s">
        <v>1037</v>
      </c>
      <c r="D12" s="437">
        <v>0</v>
      </c>
      <c r="E12" s="438">
        <v>0</v>
      </c>
      <c r="F12" s="439">
        <f>$N$12*$F$16</f>
        <v>0</v>
      </c>
      <c r="G12" s="438">
        <v>0</v>
      </c>
      <c r="H12" s="439">
        <v>0</v>
      </c>
      <c r="I12" s="438">
        <v>0</v>
      </c>
      <c r="J12" s="440">
        <v>0</v>
      </c>
      <c r="K12" s="438">
        <v>0</v>
      </c>
      <c r="L12" s="441">
        <v>0</v>
      </c>
      <c r="M12" s="411"/>
      <c r="N12" s="412">
        <v>0.4</v>
      </c>
      <c r="O12" s="412">
        <v>1</v>
      </c>
      <c r="P12" s="413" t="e">
        <f>#N/A</f>
        <v>#N/A</v>
      </c>
      <c r="Q12" s="413" t="e">
        <f>#N/A</f>
        <v>#N/A</v>
      </c>
    </row>
    <row r="13" spans="1:21" ht="27" customHeight="1" thickBot="1" x14ac:dyDescent="0.35">
      <c r="A13" s="442"/>
      <c r="B13" s="443"/>
      <c r="C13" s="444" t="s">
        <v>116</v>
      </c>
      <c r="D13" s="445">
        <v>0</v>
      </c>
      <c r="E13" s="446">
        <v>0</v>
      </c>
      <c r="F13" s="446">
        <v>0</v>
      </c>
      <c r="G13" s="447">
        <v>0</v>
      </c>
      <c r="H13" s="447">
        <v>0</v>
      </c>
      <c r="I13" s="448">
        <v>0</v>
      </c>
      <c r="J13" s="449">
        <v>0</v>
      </c>
      <c r="K13" s="447">
        <v>0</v>
      </c>
      <c r="L13" s="450">
        <v>0</v>
      </c>
      <c r="M13" s="451"/>
      <c r="N13" s="452" t="e">
        <f>#N/A</f>
        <v>#N/A</v>
      </c>
      <c r="O13" s="452" t="e">
        <f>#N/A</f>
        <v>#N/A</v>
      </c>
      <c r="P13" s="413" t="e">
        <f>SUM(P7:P12)</f>
        <v>#N/A</v>
      </c>
      <c r="Q13" s="413" t="e">
        <f>SUM(Q7:Q12)</f>
        <v>#N/A</v>
      </c>
      <c r="U13" s="453"/>
    </row>
    <row r="14" spans="1:21" ht="19.5" thickTop="1" x14ac:dyDescent="0.3">
      <c r="A14" s="454"/>
      <c r="B14" s="455"/>
      <c r="C14" s="456"/>
      <c r="D14" s="457"/>
      <c r="E14" s="457"/>
      <c r="F14" s="386"/>
      <c r="G14" s="457"/>
      <c r="H14" s="386"/>
      <c r="I14" s="457"/>
      <c r="J14" s="457"/>
      <c r="K14" s="457"/>
      <c r="L14" s="457"/>
      <c r="M14" s="457"/>
    </row>
    <row r="15" spans="1:21" hidden="1" x14ac:dyDescent="0.3">
      <c r="A15" s="616" t="s">
        <v>1038</v>
      </c>
      <c r="B15" s="616"/>
      <c r="C15" s="455" t="s">
        <v>1039</v>
      </c>
      <c r="D15" s="457">
        <f>SUM(E15:L15)</f>
        <v>2000</v>
      </c>
      <c r="E15" s="457">
        <f>E17*$D$17</f>
        <v>0</v>
      </c>
      <c r="F15" s="457" t="s">
        <v>1040</v>
      </c>
      <c r="G15" s="457">
        <f>G17*$D$17</f>
        <v>0</v>
      </c>
      <c r="H15" s="457" t="s">
        <v>1040</v>
      </c>
      <c r="I15" s="457">
        <f>I17*$D$17</f>
        <v>0</v>
      </c>
      <c r="J15" s="457" t="s">
        <v>1040</v>
      </c>
      <c r="K15" s="457">
        <f>K17*$D$17</f>
        <v>2000</v>
      </c>
      <c r="L15" s="457" t="s">
        <v>1040</v>
      </c>
      <c r="M15" s="457"/>
    </row>
    <row r="16" spans="1:21" hidden="1" x14ac:dyDescent="0.3">
      <c r="A16" s="616"/>
      <c r="B16" s="616"/>
      <c r="C16" s="455" t="s">
        <v>163</v>
      </c>
      <c r="D16" s="457" t="e">
        <f>SUM(E16:L16)</f>
        <v>#N/A</v>
      </c>
      <c r="E16" s="457"/>
      <c r="F16" s="457">
        <f>F18*$D$18</f>
        <v>0</v>
      </c>
      <c r="G16" s="457" t="e">
        <f>#N/A</f>
        <v>#N/A</v>
      </c>
      <c r="H16" s="457" t="e">
        <f>#N/A</f>
        <v>#N/A</v>
      </c>
      <c r="I16" s="457" t="e">
        <f>#N/A</f>
        <v>#N/A</v>
      </c>
      <c r="J16" s="457">
        <f>J18*$D$18</f>
        <v>0</v>
      </c>
      <c r="K16" s="457" t="e">
        <f>#N/A</f>
        <v>#N/A</v>
      </c>
      <c r="L16" s="457" t="e">
        <f>#N/A</f>
        <v>#N/A</v>
      </c>
      <c r="M16" s="457"/>
    </row>
    <row r="17" spans="1:21" hidden="1" x14ac:dyDescent="0.3">
      <c r="A17" s="616" t="s">
        <v>1041</v>
      </c>
      <c r="B17" s="616"/>
      <c r="C17" s="455" t="s">
        <v>1039</v>
      </c>
      <c r="D17" s="457">
        <f>'[3]נספח 2 חישוב הגרעון'!B35</f>
        <v>2000</v>
      </c>
      <c r="E17" s="458">
        <v>0</v>
      </c>
      <c r="F17" s="458"/>
      <c r="G17" s="458">
        <v>0</v>
      </c>
      <c r="H17" s="458"/>
      <c r="I17" s="458">
        <v>0</v>
      </c>
      <c r="J17" s="458"/>
      <c r="K17" s="458">
        <v>1</v>
      </c>
      <c r="L17" s="458"/>
      <c r="M17" s="458"/>
    </row>
    <row r="18" spans="1:21" hidden="1" x14ac:dyDescent="0.3">
      <c r="A18" s="616"/>
      <c r="B18" s="616"/>
      <c r="C18" s="455" t="s">
        <v>163</v>
      </c>
      <c r="D18" s="457">
        <f>'[3]נספח 2 חישוב הגרעון'!C35</f>
        <v>2000</v>
      </c>
      <c r="E18" s="458"/>
      <c r="F18" s="458">
        <v>0</v>
      </c>
      <c r="G18" s="458"/>
      <c r="H18" s="458">
        <v>0</v>
      </c>
      <c r="I18" s="458"/>
      <c r="J18" s="458">
        <v>0</v>
      </c>
      <c r="K18" s="458"/>
      <c r="L18" s="458">
        <v>1</v>
      </c>
      <c r="M18" s="458"/>
    </row>
    <row r="19" spans="1:21" x14ac:dyDescent="0.3">
      <c r="A19" s="459"/>
      <c r="B19" s="459"/>
      <c r="C19" s="455"/>
      <c r="D19" s="457"/>
      <c r="E19" s="458"/>
      <c r="F19" s="458"/>
      <c r="G19" s="458"/>
      <c r="H19" s="458"/>
      <c r="I19" s="458"/>
      <c r="J19" s="458"/>
      <c r="K19" s="458"/>
      <c r="L19" s="458"/>
      <c r="M19" s="458"/>
    </row>
    <row r="20" spans="1:21" ht="19.5" thickBot="1" x14ac:dyDescent="0.35">
      <c r="A20" s="459"/>
      <c r="B20" s="459"/>
      <c r="C20" s="455"/>
      <c r="D20" s="457"/>
      <c r="E20" s="458"/>
      <c r="F20" s="458"/>
      <c r="G20" s="458"/>
      <c r="H20" s="458"/>
      <c r="I20" s="458"/>
      <c r="J20" s="458"/>
      <c r="K20" s="458"/>
      <c r="L20" s="458"/>
      <c r="M20" s="458"/>
    </row>
    <row r="21" spans="1:21" ht="22.5" customHeight="1" thickTop="1" thickBot="1" x14ac:dyDescent="0.35">
      <c r="A21" s="597"/>
      <c r="B21" s="597" t="s">
        <v>1021</v>
      </c>
      <c r="C21" s="600" t="s">
        <v>1043</v>
      </c>
      <c r="D21" s="603">
        <v>2018</v>
      </c>
      <c r="E21" s="604"/>
      <c r="F21" s="604"/>
      <c r="G21" s="604"/>
      <c r="H21" s="604"/>
      <c r="I21" s="604"/>
      <c r="J21" s="604"/>
      <c r="K21" s="604"/>
      <c r="L21" s="605"/>
      <c r="M21" s="395"/>
      <c r="P21" s="396"/>
      <c r="Q21" s="396"/>
    </row>
    <row r="22" spans="1:21" ht="22.5" customHeight="1" thickBot="1" x14ac:dyDescent="0.35">
      <c r="A22" s="598"/>
      <c r="B22" s="598"/>
      <c r="C22" s="601"/>
      <c r="D22" s="617" t="s">
        <v>1022</v>
      </c>
      <c r="E22" s="619" t="s">
        <v>1023</v>
      </c>
      <c r="F22" s="609"/>
      <c r="G22" s="620" t="s">
        <v>1024</v>
      </c>
      <c r="H22" s="611"/>
      <c r="I22" s="610" t="s">
        <v>1025</v>
      </c>
      <c r="J22" s="611"/>
      <c r="K22" s="610" t="s">
        <v>1026</v>
      </c>
      <c r="L22" s="612"/>
      <c r="M22" s="397"/>
      <c r="N22" s="386"/>
      <c r="O22" s="386"/>
      <c r="P22" s="398">
        <v>2012</v>
      </c>
      <c r="Q22" s="398">
        <v>2012</v>
      </c>
    </row>
    <row r="23" spans="1:21" ht="22.5" customHeight="1" thickBot="1" x14ac:dyDescent="0.35">
      <c r="A23" s="599"/>
      <c r="B23" s="599"/>
      <c r="C23" s="602"/>
      <c r="D23" s="618"/>
      <c r="E23" s="460" t="s">
        <v>1027</v>
      </c>
      <c r="F23" s="399" t="s">
        <v>1028</v>
      </c>
      <c r="G23" s="400" t="s">
        <v>1027</v>
      </c>
      <c r="H23" s="399" t="s">
        <v>1028</v>
      </c>
      <c r="I23" s="400" t="s">
        <v>1027</v>
      </c>
      <c r="J23" s="400" t="s">
        <v>1028</v>
      </c>
      <c r="K23" s="400" t="s">
        <v>1027</v>
      </c>
      <c r="L23" s="401" t="s">
        <v>1028</v>
      </c>
      <c r="M23" s="402"/>
      <c r="N23" s="397" t="s">
        <v>1029</v>
      </c>
      <c r="O23" s="397" t="s">
        <v>1030</v>
      </c>
      <c r="P23" s="398" t="s">
        <v>1027</v>
      </c>
      <c r="Q23" s="398" t="s">
        <v>1028</v>
      </c>
    </row>
    <row r="24" spans="1:21" ht="22.5" customHeight="1" thickBot="1" x14ac:dyDescent="0.35">
      <c r="A24" s="403"/>
      <c r="B24" s="404">
        <v>2</v>
      </c>
      <c r="C24" s="405" t="s">
        <v>1031</v>
      </c>
      <c r="D24" s="461">
        <f>'טבלה 1 - התקציב הרגיל'!K6</f>
        <v>17117</v>
      </c>
      <c r="E24" s="462">
        <v>0</v>
      </c>
      <c r="F24" s="408">
        <v>0</v>
      </c>
      <c r="G24" s="407">
        <v>0</v>
      </c>
      <c r="H24" s="408">
        <v>0</v>
      </c>
      <c r="I24" s="407">
        <v>0</v>
      </c>
      <c r="J24" s="409">
        <v>0</v>
      </c>
      <c r="K24" s="407">
        <v>300</v>
      </c>
      <c r="L24" s="410">
        <v>300</v>
      </c>
      <c r="M24" s="411"/>
      <c r="N24" s="412">
        <v>0</v>
      </c>
      <c r="O24" s="412">
        <v>0.25</v>
      </c>
      <c r="P24" s="413" t="e">
        <f>#N/A</f>
        <v>#N/A</v>
      </c>
      <c r="Q24" s="413" t="e">
        <f>#N/A</f>
        <v>#N/A</v>
      </c>
    </row>
    <row r="25" spans="1:21" ht="22.5" customHeight="1" thickBot="1" x14ac:dyDescent="0.35">
      <c r="A25" s="463"/>
      <c r="B25" s="464">
        <v>3</v>
      </c>
      <c r="C25" s="465" t="s">
        <v>1042</v>
      </c>
      <c r="D25" s="466">
        <f>'טבלה 1 - התקציב הרגיל'!K10</f>
        <v>3113</v>
      </c>
      <c r="E25" s="462">
        <v>80</v>
      </c>
      <c r="F25" s="408">
        <v>80</v>
      </c>
      <c r="G25" s="462">
        <v>80</v>
      </c>
      <c r="H25" s="408">
        <v>80</v>
      </c>
      <c r="I25" s="407">
        <v>80</v>
      </c>
      <c r="J25" s="409">
        <v>80</v>
      </c>
      <c r="K25" s="462">
        <v>80</v>
      </c>
      <c r="L25" s="408">
        <v>80</v>
      </c>
      <c r="M25" s="411"/>
      <c r="N25" s="412">
        <v>0.1</v>
      </c>
      <c r="O25" s="412">
        <v>0.1</v>
      </c>
      <c r="P25" s="413"/>
      <c r="Q25" s="413"/>
    </row>
    <row r="26" spans="1:21" ht="22.5" customHeight="1" thickBot="1" x14ac:dyDescent="0.35">
      <c r="A26" s="613" t="s">
        <v>1032</v>
      </c>
      <c r="B26" s="414">
        <v>4</v>
      </c>
      <c r="C26" s="415" t="s">
        <v>1033</v>
      </c>
      <c r="D26" s="467">
        <f>'טבלה 1 - התקציב הרגיל'!K28</f>
        <v>10481</v>
      </c>
      <c r="E26" s="462">
        <v>100</v>
      </c>
      <c r="F26" s="408">
        <v>100</v>
      </c>
      <c r="G26" s="462">
        <v>100</v>
      </c>
      <c r="H26" s="408">
        <v>100</v>
      </c>
      <c r="I26" s="462">
        <v>100</v>
      </c>
      <c r="J26" s="408">
        <v>100</v>
      </c>
      <c r="K26" s="462">
        <v>100</v>
      </c>
      <c r="L26" s="408">
        <v>100</v>
      </c>
      <c r="M26" s="411"/>
      <c r="N26" s="412">
        <v>0.15</v>
      </c>
      <c r="O26" s="412">
        <v>0.15</v>
      </c>
      <c r="P26" s="413" t="e">
        <f>#N/A</f>
        <v>#N/A</v>
      </c>
      <c r="Q26" s="413" t="e">
        <f>#N/A</f>
        <v>#N/A</v>
      </c>
    </row>
    <row r="27" spans="1:21" ht="22.5" customHeight="1" thickBot="1" x14ac:dyDescent="0.35">
      <c r="A27" s="614"/>
      <c r="B27" s="421">
        <v>5</v>
      </c>
      <c r="C27" s="422" t="s">
        <v>1034</v>
      </c>
      <c r="D27" s="468">
        <f>'טבלה 1 - התקציב הרגיל'!M29</f>
        <v>12432</v>
      </c>
      <c r="E27" s="462">
        <v>100</v>
      </c>
      <c r="F27" s="408">
        <v>100</v>
      </c>
      <c r="G27" s="462">
        <v>100</v>
      </c>
      <c r="H27" s="408">
        <v>100</v>
      </c>
      <c r="I27" s="462">
        <v>100</v>
      </c>
      <c r="J27" s="408">
        <v>100</v>
      </c>
      <c r="K27" s="462">
        <v>100</v>
      </c>
      <c r="L27" s="408">
        <v>100</v>
      </c>
      <c r="M27" s="411"/>
      <c r="N27" s="412">
        <v>0.15</v>
      </c>
      <c r="O27" s="412">
        <v>0.1</v>
      </c>
      <c r="P27" s="413" t="e">
        <f>#N/A</f>
        <v>#N/A</v>
      </c>
      <c r="Q27" s="413" t="e">
        <f>#N/A</f>
        <v>#N/A</v>
      </c>
    </row>
    <row r="28" spans="1:21" ht="22.5" customHeight="1" thickBot="1" x14ac:dyDescent="0.35">
      <c r="A28" s="614"/>
      <c r="B28" s="428">
        <v>6</v>
      </c>
      <c r="C28" s="429" t="s">
        <v>1035</v>
      </c>
      <c r="D28" s="469">
        <f>'טבלה 1 - התקציב הרגיל'!K32+'טבלה 1 - התקציב הרגיל'!K33-'טבלה 1 - התקציב הרגיל'!K12-'טבלה 1 - התקציב הרגיל'!K8</f>
        <v>3875</v>
      </c>
      <c r="E28" s="462">
        <v>100</v>
      </c>
      <c r="F28" s="408">
        <v>100</v>
      </c>
      <c r="G28" s="462">
        <v>100</v>
      </c>
      <c r="H28" s="408">
        <v>100</v>
      </c>
      <c r="I28" s="462">
        <v>100</v>
      </c>
      <c r="J28" s="408">
        <v>100</v>
      </c>
      <c r="K28" s="462">
        <v>100</v>
      </c>
      <c r="L28" s="408">
        <v>100</v>
      </c>
      <c r="M28" s="411"/>
      <c r="N28" s="412">
        <v>0.15</v>
      </c>
      <c r="O28" s="412">
        <v>0.05</v>
      </c>
      <c r="P28" s="413" t="e">
        <f>#N/A</f>
        <v>#N/A</v>
      </c>
      <c r="Q28" s="413" t="e">
        <f>#N/A</f>
        <v>#N/A</v>
      </c>
    </row>
    <row r="29" spans="1:21" ht="22.5" customHeight="1" thickBot="1" x14ac:dyDescent="0.35">
      <c r="A29" s="614"/>
      <c r="B29" s="431">
        <v>7</v>
      </c>
      <c r="C29" s="432" t="s">
        <v>1036</v>
      </c>
      <c r="D29" s="469">
        <f>'טבלה 1 - התקציב הרגיל'!K35+'טבלה 1 - התקציב הרגיל'!K36-'טבלה 1 - התקציב הרגיל'!K13</f>
        <v>2770</v>
      </c>
      <c r="E29" s="462">
        <v>40</v>
      </c>
      <c r="F29" s="408">
        <v>40</v>
      </c>
      <c r="G29" s="462">
        <v>40</v>
      </c>
      <c r="H29" s="408">
        <v>40</v>
      </c>
      <c r="I29" s="407">
        <v>40</v>
      </c>
      <c r="J29" s="409">
        <v>40</v>
      </c>
      <c r="K29" s="462">
        <v>40</v>
      </c>
      <c r="L29" s="408">
        <v>40</v>
      </c>
      <c r="M29" s="411"/>
      <c r="N29" s="412">
        <v>0.05</v>
      </c>
      <c r="O29" s="412">
        <v>0.05</v>
      </c>
      <c r="P29" s="413" t="e">
        <f>#N/A</f>
        <v>#N/A</v>
      </c>
      <c r="Q29" s="413" t="e">
        <f>#N/A</f>
        <v>#N/A</v>
      </c>
    </row>
    <row r="30" spans="1:21" ht="22.5" customHeight="1" thickBot="1" x14ac:dyDescent="0.35">
      <c r="A30" s="615"/>
      <c r="B30" s="435">
        <v>8</v>
      </c>
      <c r="C30" s="436" t="s">
        <v>1037</v>
      </c>
      <c r="D30" s="470">
        <f>'טבלה 1 - התקציב הרגיל'!K49</f>
        <v>-5900</v>
      </c>
      <c r="E30" s="462">
        <v>320</v>
      </c>
      <c r="F30" s="408">
        <v>320</v>
      </c>
      <c r="G30" s="462">
        <v>320</v>
      </c>
      <c r="H30" s="408">
        <v>320</v>
      </c>
      <c r="I30" s="407">
        <v>320</v>
      </c>
      <c r="J30" s="409">
        <v>320</v>
      </c>
      <c r="K30" s="407">
        <v>360</v>
      </c>
      <c r="L30" s="410">
        <v>360</v>
      </c>
      <c r="M30" s="411"/>
      <c r="N30" s="412">
        <v>0.4</v>
      </c>
      <c r="O30" s="412">
        <v>0.3</v>
      </c>
      <c r="P30" s="413" t="e">
        <f>#N/A</f>
        <v>#N/A</v>
      </c>
      <c r="Q30" s="413" t="e">
        <f>#N/A</f>
        <v>#N/A</v>
      </c>
    </row>
    <row r="31" spans="1:21" ht="22.5" customHeight="1" thickBot="1" x14ac:dyDescent="0.35">
      <c r="A31" s="442"/>
      <c r="B31" s="443"/>
      <c r="C31" s="444" t="s">
        <v>116</v>
      </c>
      <c r="D31" s="471">
        <f>SUM(E31:L31)</f>
        <v>6600</v>
      </c>
      <c r="E31" s="471">
        <f>SUM(E24:E30)</f>
        <v>740</v>
      </c>
      <c r="F31" s="471">
        <f t="shared" ref="F31:K31" si="0">SUM(F24:F30)</f>
        <v>740</v>
      </c>
      <c r="G31" s="471">
        <f t="shared" si="0"/>
        <v>740</v>
      </c>
      <c r="H31" s="471">
        <f t="shared" si="0"/>
        <v>740</v>
      </c>
      <c r="I31" s="471">
        <f t="shared" si="0"/>
        <v>740</v>
      </c>
      <c r="J31" s="471">
        <f t="shared" si="0"/>
        <v>740</v>
      </c>
      <c r="K31" s="471">
        <f t="shared" si="0"/>
        <v>1080</v>
      </c>
      <c r="L31" s="450">
        <f>SUM(L24:L30)</f>
        <v>1080</v>
      </c>
      <c r="M31" s="451"/>
      <c r="N31" s="452">
        <f>SUM(N24:N30)</f>
        <v>1</v>
      </c>
      <c r="O31" s="452">
        <f>SUM(O24:O30)</f>
        <v>1</v>
      </c>
      <c r="P31" s="413" t="e">
        <f>SUM(P24:P30)</f>
        <v>#N/A</v>
      </c>
      <c r="Q31" s="413" t="e">
        <f>SUM(Q24:Q30)</f>
        <v>#N/A</v>
      </c>
      <c r="U31" s="453"/>
    </row>
    <row r="32" spans="1:21" ht="20.25" customHeight="1" thickTop="1" x14ac:dyDescent="0.3">
      <c r="A32" s="454"/>
      <c r="B32" s="455"/>
      <c r="C32" s="456"/>
      <c r="D32" s="457"/>
      <c r="E32" s="457"/>
      <c r="F32" s="386"/>
      <c r="G32" s="457"/>
      <c r="H32" s="386"/>
      <c r="I32" s="457"/>
      <c r="J32" s="457"/>
      <c r="K32" s="457"/>
      <c r="L32" s="457"/>
      <c r="M32" s="457"/>
    </row>
    <row r="33" spans="1:24" hidden="1" x14ac:dyDescent="0.3">
      <c r="A33" s="616" t="s">
        <v>1038</v>
      </c>
      <c r="B33" s="616"/>
      <c r="C33" s="455" t="s">
        <v>1039</v>
      </c>
      <c r="D33" s="457">
        <f>SUM(E33:L33)</f>
        <v>3600</v>
      </c>
      <c r="E33" s="457">
        <f>E35*$D$35</f>
        <v>720</v>
      </c>
      <c r="F33" s="457"/>
      <c r="G33" s="457">
        <f>G35*$D$35</f>
        <v>1080</v>
      </c>
      <c r="H33" s="457"/>
      <c r="I33" s="457">
        <f>I35*$D$35</f>
        <v>720</v>
      </c>
      <c r="J33" s="457"/>
      <c r="K33" s="457">
        <f>K35*$D$35</f>
        <v>1080</v>
      </c>
      <c r="L33" s="457" t="s">
        <v>1040</v>
      </c>
      <c r="M33" s="457"/>
    </row>
    <row r="34" spans="1:24" hidden="1" x14ac:dyDescent="0.3">
      <c r="A34" s="616"/>
      <c r="B34" s="616"/>
      <c r="C34" s="455" t="s">
        <v>163</v>
      </c>
      <c r="D34" s="457">
        <f>SUM(E34:L34)</f>
        <v>3600</v>
      </c>
      <c r="E34" s="457"/>
      <c r="F34" s="457">
        <f>F36*$D$36</f>
        <v>720</v>
      </c>
      <c r="G34" s="457"/>
      <c r="H34" s="457">
        <f>H36*$D$36</f>
        <v>1080</v>
      </c>
      <c r="I34" s="457"/>
      <c r="J34" s="457">
        <f>J36*$D$36</f>
        <v>720</v>
      </c>
      <c r="K34" s="457"/>
      <c r="L34" s="457">
        <f>L36*$D$36</f>
        <v>1080</v>
      </c>
      <c r="M34" s="457"/>
    </row>
    <row r="35" spans="1:24" hidden="1" x14ac:dyDescent="0.3">
      <c r="A35" s="459"/>
      <c r="B35" s="459"/>
      <c r="C35" s="455" t="s">
        <v>1039</v>
      </c>
      <c r="D35" s="457">
        <f>'[3]נספח 2 חישוב הגרעון'!B36</f>
        <v>3600</v>
      </c>
      <c r="E35" s="458">
        <v>0.2</v>
      </c>
      <c r="F35" s="458"/>
      <c r="G35" s="458">
        <v>0.3</v>
      </c>
      <c r="H35" s="458"/>
      <c r="I35" s="458">
        <v>0.2</v>
      </c>
      <c r="J35" s="458"/>
      <c r="K35" s="458">
        <v>0.3</v>
      </c>
      <c r="L35" s="458"/>
      <c r="M35" s="458"/>
    </row>
    <row r="36" spans="1:24" hidden="1" x14ac:dyDescent="0.3">
      <c r="A36" s="616" t="s">
        <v>1041</v>
      </c>
      <c r="B36" s="616"/>
      <c r="C36" s="455" t="s">
        <v>163</v>
      </c>
      <c r="D36" s="457">
        <f>'[3]נספח 2 חישוב הגרעון'!C36</f>
        <v>3600</v>
      </c>
      <c r="E36" s="458"/>
      <c r="F36" s="458">
        <v>0.2</v>
      </c>
      <c r="G36" s="458"/>
      <c r="H36" s="458">
        <v>0.3</v>
      </c>
      <c r="I36" s="458"/>
      <c r="J36" s="458">
        <v>0.2</v>
      </c>
      <c r="K36" s="458"/>
      <c r="L36" s="458">
        <v>0.3</v>
      </c>
      <c r="M36" s="458"/>
    </row>
    <row r="37" spans="1:24" x14ac:dyDescent="0.3">
      <c r="A37" s="459"/>
      <c r="B37" s="459"/>
      <c r="C37" s="455"/>
      <c r="D37" s="457"/>
      <c r="E37" s="457"/>
      <c r="F37" s="458"/>
      <c r="G37" s="458"/>
      <c r="H37" s="458"/>
      <c r="I37" s="458"/>
      <c r="J37" s="458"/>
      <c r="K37" s="458"/>
      <c r="L37" s="458"/>
      <c r="M37" s="458"/>
    </row>
    <row r="38" spans="1:24" ht="19.5" thickBot="1" x14ac:dyDescent="0.35">
      <c r="A38" s="459"/>
      <c r="B38" s="459"/>
      <c r="C38" s="455"/>
      <c r="D38" s="457"/>
      <c r="E38" s="458"/>
      <c r="F38" s="458"/>
      <c r="G38" s="458"/>
      <c r="H38" s="458"/>
      <c r="I38" s="458"/>
      <c r="J38" s="458"/>
      <c r="K38" s="458"/>
      <c r="L38" s="458"/>
      <c r="M38" s="458"/>
    </row>
    <row r="39" spans="1:24" ht="22.5" customHeight="1" thickTop="1" thickBot="1" x14ac:dyDescent="0.35">
      <c r="A39" s="597"/>
      <c r="B39" s="597" t="s">
        <v>1021</v>
      </c>
      <c r="C39" s="600" t="s">
        <v>1090</v>
      </c>
      <c r="D39" s="603">
        <v>2019</v>
      </c>
      <c r="E39" s="604"/>
      <c r="F39" s="604"/>
      <c r="G39" s="604"/>
      <c r="H39" s="604"/>
      <c r="I39" s="604"/>
      <c r="J39" s="604"/>
      <c r="K39" s="604"/>
      <c r="L39" s="605"/>
      <c r="M39" s="395"/>
      <c r="P39" s="396"/>
      <c r="Q39" s="396"/>
    </row>
    <row r="40" spans="1:24" ht="22.5" customHeight="1" thickBot="1" x14ac:dyDescent="0.35">
      <c r="A40" s="598"/>
      <c r="B40" s="598"/>
      <c r="C40" s="601"/>
      <c r="D40" s="606" t="s">
        <v>1022</v>
      </c>
      <c r="E40" s="608" t="s">
        <v>1023</v>
      </c>
      <c r="F40" s="609"/>
      <c r="G40" s="610" t="s">
        <v>1024</v>
      </c>
      <c r="H40" s="611"/>
      <c r="I40" s="610" t="s">
        <v>1025</v>
      </c>
      <c r="J40" s="611"/>
      <c r="K40" s="610" t="s">
        <v>1026</v>
      </c>
      <c r="L40" s="612"/>
      <c r="M40" s="397"/>
      <c r="N40" s="386"/>
      <c r="O40" s="386"/>
      <c r="P40" s="398">
        <v>2012</v>
      </c>
      <c r="Q40" s="398">
        <v>2012</v>
      </c>
    </row>
    <row r="41" spans="1:24" ht="22.5" customHeight="1" thickBot="1" x14ac:dyDescent="0.35">
      <c r="A41" s="599"/>
      <c r="B41" s="599"/>
      <c r="C41" s="602"/>
      <c r="D41" s="607"/>
      <c r="E41" s="399" t="s">
        <v>1027</v>
      </c>
      <c r="F41" s="399" t="s">
        <v>1028</v>
      </c>
      <c r="G41" s="400" t="s">
        <v>1027</v>
      </c>
      <c r="H41" s="399" t="s">
        <v>1028</v>
      </c>
      <c r="I41" s="400" t="s">
        <v>1027</v>
      </c>
      <c r="J41" s="400" t="s">
        <v>1028</v>
      </c>
      <c r="K41" s="400" t="s">
        <v>1027</v>
      </c>
      <c r="L41" s="401" t="s">
        <v>1028</v>
      </c>
      <c r="M41" s="402"/>
      <c r="N41" s="397" t="s">
        <v>1029</v>
      </c>
      <c r="O41" s="397" t="s">
        <v>1030</v>
      </c>
      <c r="P41" s="398" t="s">
        <v>1027</v>
      </c>
      <c r="Q41" s="398" t="s">
        <v>1028</v>
      </c>
    </row>
    <row r="42" spans="1:24" ht="22.5" customHeight="1" thickBot="1" x14ac:dyDescent="0.35">
      <c r="A42" s="403"/>
      <c r="B42" s="404">
        <v>9</v>
      </c>
      <c r="C42" s="405" t="s">
        <v>1031</v>
      </c>
      <c r="D42" s="461">
        <f>'טבלה 1 - התקציב הרגיל'!M6</f>
        <v>17877</v>
      </c>
      <c r="E42" s="407">
        <v>0</v>
      </c>
      <c r="F42" s="408">
        <v>0</v>
      </c>
      <c r="G42" s="407">
        <v>160</v>
      </c>
      <c r="H42" s="408">
        <v>160</v>
      </c>
      <c r="I42" s="407">
        <v>0</v>
      </c>
      <c r="J42" s="408">
        <v>0</v>
      </c>
      <c r="K42" s="407">
        <v>160</v>
      </c>
      <c r="L42" s="410">
        <v>160</v>
      </c>
      <c r="M42" s="411"/>
      <c r="N42" s="412">
        <v>0</v>
      </c>
      <c r="O42" s="412">
        <v>0.35</v>
      </c>
      <c r="P42" s="413" t="e">
        <f>#N/A</f>
        <v>#N/A</v>
      </c>
      <c r="Q42" s="413" t="e">
        <f>#N/A</f>
        <v>#N/A</v>
      </c>
    </row>
    <row r="43" spans="1:24" ht="22.5" customHeight="1" thickBot="1" x14ac:dyDescent="0.35">
      <c r="A43" s="463"/>
      <c r="B43" s="472">
        <v>10</v>
      </c>
      <c r="C43" s="465" t="s">
        <v>1042</v>
      </c>
      <c r="D43" s="466">
        <f>'טבלה 1 - התקציב הרגיל'!M10</f>
        <v>3152</v>
      </c>
      <c r="E43" s="407">
        <v>0</v>
      </c>
      <c r="F43" s="408">
        <v>0</v>
      </c>
      <c r="G43" s="407">
        <v>0</v>
      </c>
      <c r="H43" s="408">
        <v>0</v>
      </c>
      <c r="I43" s="407">
        <v>0</v>
      </c>
      <c r="J43" s="408">
        <v>0</v>
      </c>
      <c r="K43" s="407">
        <v>0</v>
      </c>
      <c r="L43" s="410">
        <v>0</v>
      </c>
      <c r="M43" s="411"/>
      <c r="N43" s="412"/>
      <c r="O43" s="412"/>
      <c r="P43" s="413"/>
      <c r="Q43" s="413"/>
    </row>
    <row r="44" spans="1:24" ht="22.5" customHeight="1" thickBot="1" x14ac:dyDescent="0.35">
      <c r="A44" s="613" t="s">
        <v>1032</v>
      </c>
      <c r="B44" s="414">
        <v>11</v>
      </c>
      <c r="C44" s="415" t="s">
        <v>1033</v>
      </c>
      <c r="D44" s="467">
        <f>'טבלה 1 - התקציב הרגיל'!M28</f>
        <v>10116</v>
      </c>
      <c r="E44" s="407">
        <v>80</v>
      </c>
      <c r="F44" s="407">
        <v>80</v>
      </c>
      <c r="G44" s="407">
        <v>80</v>
      </c>
      <c r="H44" s="408">
        <v>80</v>
      </c>
      <c r="I44" s="407">
        <v>80</v>
      </c>
      <c r="J44" s="408">
        <v>80</v>
      </c>
      <c r="K44" s="407">
        <v>80</v>
      </c>
      <c r="L44" s="410">
        <v>80</v>
      </c>
      <c r="M44" s="411"/>
      <c r="N44" s="412">
        <v>0.15</v>
      </c>
      <c r="O44" s="412">
        <v>0.15</v>
      </c>
      <c r="P44" s="413" t="e">
        <f>#N/A</f>
        <v>#N/A</v>
      </c>
      <c r="Q44" s="413" t="e">
        <f>#N/A</f>
        <v>#N/A</v>
      </c>
    </row>
    <row r="45" spans="1:24" ht="22.5" customHeight="1" thickBot="1" x14ac:dyDescent="0.35">
      <c r="A45" s="614"/>
      <c r="B45" s="421">
        <v>12</v>
      </c>
      <c r="C45" s="422" t="s">
        <v>1034</v>
      </c>
      <c r="D45" s="468">
        <f>'טבלה 1 - התקציב הרגיל'!M29</f>
        <v>12432</v>
      </c>
      <c r="E45" s="407">
        <v>80</v>
      </c>
      <c r="F45" s="407">
        <v>80</v>
      </c>
      <c r="G45" s="407">
        <v>80</v>
      </c>
      <c r="H45" s="408">
        <v>80</v>
      </c>
      <c r="I45" s="407">
        <v>80</v>
      </c>
      <c r="J45" s="408">
        <v>80</v>
      </c>
      <c r="K45" s="407">
        <v>80</v>
      </c>
      <c r="L45" s="410">
        <v>80</v>
      </c>
      <c r="M45" s="411"/>
      <c r="N45" s="412">
        <v>0.25</v>
      </c>
      <c r="O45" s="412">
        <v>0.1</v>
      </c>
      <c r="P45" s="413" t="e">
        <f>#N/A</f>
        <v>#N/A</v>
      </c>
      <c r="Q45" s="413" t="e">
        <f>#N/A</f>
        <v>#N/A</v>
      </c>
      <c r="X45" s="453"/>
    </row>
    <row r="46" spans="1:24" ht="22.5" customHeight="1" thickBot="1" x14ac:dyDescent="0.35">
      <c r="A46" s="614"/>
      <c r="B46" s="428">
        <v>13</v>
      </c>
      <c r="C46" s="429" t="s">
        <v>1035</v>
      </c>
      <c r="D46" s="469">
        <f>'טבלה 1 - התקציב הרגיל'!M32+'טבלה 1 - התקציב הרגיל'!M33-'טבלה 1 - התקציב הרגיל'!M12-'טבלה 1 - התקציב הרגיל'!M8</f>
        <v>4786</v>
      </c>
      <c r="E46" s="407">
        <v>40</v>
      </c>
      <c r="F46" s="407">
        <v>40</v>
      </c>
      <c r="G46" s="407">
        <v>40</v>
      </c>
      <c r="H46" s="408">
        <v>40</v>
      </c>
      <c r="I46" s="407">
        <v>40</v>
      </c>
      <c r="J46" s="408">
        <v>40</v>
      </c>
      <c r="K46" s="407">
        <v>40</v>
      </c>
      <c r="L46" s="410">
        <v>40</v>
      </c>
      <c r="M46" s="411"/>
      <c r="N46" s="412">
        <v>0.15</v>
      </c>
      <c r="O46" s="412">
        <v>0.05</v>
      </c>
      <c r="P46" s="413" t="e">
        <f>#N/A</f>
        <v>#N/A</v>
      </c>
      <c r="Q46" s="413" t="e">
        <f>#N/A</f>
        <v>#N/A</v>
      </c>
    </row>
    <row r="47" spans="1:24" ht="22.5" customHeight="1" thickBot="1" x14ac:dyDescent="0.35">
      <c r="A47" s="614"/>
      <c r="B47" s="431">
        <v>14</v>
      </c>
      <c r="C47" s="432" t="s">
        <v>1036</v>
      </c>
      <c r="D47" s="469">
        <f>'טבלה 1 - התקציב הרגיל'!M35+'טבלה 1 - התקציב הרגיל'!M36-'טבלה 1 - התקציב הרגיל'!M13</f>
        <v>2818</v>
      </c>
      <c r="E47" s="407">
        <v>20</v>
      </c>
      <c r="F47" s="407">
        <v>20</v>
      </c>
      <c r="G47" s="407">
        <v>20</v>
      </c>
      <c r="H47" s="408">
        <v>20</v>
      </c>
      <c r="I47" s="407">
        <v>20</v>
      </c>
      <c r="J47" s="408">
        <v>20</v>
      </c>
      <c r="K47" s="407">
        <v>20</v>
      </c>
      <c r="L47" s="410">
        <v>20</v>
      </c>
      <c r="M47" s="411"/>
      <c r="N47" s="412">
        <v>0.05</v>
      </c>
      <c r="O47" s="412">
        <v>0.05</v>
      </c>
      <c r="P47" s="413" t="e">
        <f>#N/A</f>
        <v>#N/A</v>
      </c>
      <c r="Q47" s="413" t="e">
        <f>#N/A</f>
        <v>#N/A</v>
      </c>
    </row>
    <row r="48" spans="1:24" ht="22.5" customHeight="1" thickBot="1" x14ac:dyDescent="0.35">
      <c r="A48" s="615"/>
      <c r="B48" s="435">
        <v>15</v>
      </c>
      <c r="C48" s="436" t="s">
        <v>1037</v>
      </c>
      <c r="D48" s="470">
        <f>'טבלה 1 - התקציב הרגיל'!K67</f>
        <v>0</v>
      </c>
      <c r="E48" s="407">
        <v>200</v>
      </c>
      <c r="F48" s="407">
        <v>200</v>
      </c>
      <c r="G48" s="407">
        <v>200</v>
      </c>
      <c r="H48" s="408">
        <v>200</v>
      </c>
      <c r="I48" s="407">
        <v>200</v>
      </c>
      <c r="J48" s="408">
        <v>200</v>
      </c>
      <c r="K48" s="407">
        <v>300</v>
      </c>
      <c r="L48" s="410">
        <v>300</v>
      </c>
      <c r="M48" s="411"/>
      <c r="N48" s="412">
        <v>0.4</v>
      </c>
      <c r="O48" s="412">
        <v>0.3</v>
      </c>
      <c r="P48" s="413" t="e">
        <f>#N/A</f>
        <v>#N/A</v>
      </c>
      <c r="Q48" s="413" t="e">
        <f>#N/A</f>
        <v>#N/A</v>
      </c>
    </row>
    <row r="49" spans="1:20" ht="22.5" customHeight="1" thickBot="1" x14ac:dyDescent="0.35">
      <c r="A49" s="442"/>
      <c r="B49" s="443"/>
      <c r="C49" s="444" t="s">
        <v>116</v>
      </c>
      <c r="D49" s="445">
        <f>SUM(E49:L49)</f>
        <v>4200</v>
      </c>
      <c r="E49" s="446">
        <f>SUM(E42:E48)</f>
        <v>420</v>
      </c>
      <c r="F49" s="446">
        <f t="shared" ref="F49:L49" si="1">SUM(F42:F48)</f>
        <v>420</v>
      </c>
      <c r="G49" s="446">
        <f t="shared" si="1"/>
        <v>580</v>
      </c>
      <c r="H49" s="446">
        <f t="shared" si="1"/>
        <v>580</v>
      </c>
      <c r="I49" s="446">
        <f t="shared" si="1"/>
        <v>420</v>
      </c>
      <c r="J49" s="446">
        <f t="shared" si="1"/>
        <v>420</v>
      </c>
      <c r="K49" s="446">
        <f t="shared" si="1"/>
        <v>680</v>
      </c>
      <c r="L49" s="450">
        <f t="shared" si="1"/>
        <v>680</v>
      </c>
      <c r="M49" s="451"/>
      <c r="N49" s="452">
        <f>SUM(N42:N48)</f>
        <v>1</v>
      </c>
      <c r="O49" s="452">
        <f>SUM(O42:O48)</f>
        <v>1</v>
      </c>
      <c r="P49" s="413" t="e">
        <f>SUM(P42:P48)</f>
        <v>#N/A</v>
      </c>
      <c r="Q49" s="413" t="e">
        <f>SUM(Q42:Q48)</f>
        <v>#N/A</v>
      </c>
    </row>
    <row r="50" spans="1:20" ht="19.5" thickTop="1" x14ac:dyDescent="0.3">
      <c r="A50" s="454"/>
      <c r="B50" s="455"/>
      <c r="C50" s="456"/>
      <c r="D50" s="457"/>
      <c r="E50" s="457"/>
      <c r="F50" s="386"/>
      <c r="G50" s="457"/>
      <c r="H50" s="386"/>
      <c r="I50" s="457"/>
      <c r="J50" s="457"/>
      <c r="K50" s="457"/>
      <c r="L50" s="457"/>
      <c r="M50" s="457"/>
    </row>
    <row r="51" spans="1:20" ht="81" hidden="1" customHeight="1" x14ac:dyDescent="0.3">
      <c r="A51" s="616" t="s">
        <v>1038</v>
      </c>
      <c r="B51" s="616"/>
      <c r="C51" s="455" t="s">
        <v>1039</v>
      </c>
      <c r="D51" s="457">
        <f>SUM(E51:L51)</f>
        <v>2180</v>
      </c>
      <c r="E51" s="457">
        <f>E53*$D$53</f>
        <v>436</v>
      </c>
      <c r="F51" s="457"/>
      <c r="G51" s="457">
        <f>G53*$D$53</f>
        <v>654</v>
      </c>
      <c r="H51" s="457"/>
      <c r="I51" s="457">
        <f>I53*$D$53</f>
        <v>436</v>
      </c>
      <c r="J51" s="457"/>
      <c r="K51" s="457">
        <f>K53*$D$53</f>
        <v>654</v>
      </c>
      <c r="L51" s="457" t="s">
        <v>1040</v>
      </c>
      <c r="M51" s="457"/>
    </row>
    <row r="52" spans="1:20" hidden="1" x14ac:dyDescent="0.3">
      <c r="A52" s="616"/>
      <c r="B52" s="616"/>
      <c r="C52" s="455" t="s">
        <v>163</v>
      </c>
      <c r="D52" s="457">
        <f>SUM(E52:L52)</f>
        <v>2180</v>
      </c>
      <c r="E52" s="457"/>
      <c r="F52" s="457">
        <f>F54*$D$54</f>
        <v>436</v>
      </c>
      <c r="G52" s="457"/>
      <c r="H52" s="457">
        <f>H54*$D$54</f>
        <v>654</v>
      </c>
      <c r="I52" s="457"/>
      <c r="J52" s="457">
        <f>J54*$D$54</f>
        <v>436</v>
      </c>
      <c r="K52" s="457"/>
      <c r="L52" s="457">
        <f>L54*$D$54</f>
        <v>654</v>
      </c>
      <c r="M52" s="457"/>
    </row>
    <row r="53" spans="1:20" ht="81" hidden="1" customHeight="1" x14ac:dyDescent="0.3">
      <c r="A53" s="459"/>
      <c r="B53" s="459"/>
      <c r="C53" s="455" t="s">
        <v>1039</v>
      </c>
      <c r="D53" s="457">
        <f>'[3]נספח 2 חישוב הגרעון'!B37</f>
        <v>2180</v>
      </c>
      <c r="E53" s="458">
        <v>0.2</v>
      </c>
      <c r="F53" s="458"/>
      <c r="G53" s="458">
        <v>0.3</v>
      </c>
      <c r="H53" s="458"/>
      <c r="I53" s="458">
        <v>0.2</v>
      </c>
      <c r="J53" s="458"/>
      <c r="K53" s="458">
        <v>0.3</v>
      </c>
      <c r="L53" s="458"/>
      <c r="M53" s="458"/>
    </row>
    <row r="54" spans="1:20" hidden="1" x14ac:dyDescent="0.3">
      <c r="A54" s="616" t="s">
        <v>1041</v>
      </c>
      <c r="B54" s="616"/>
      <c r="C54" s="455" t="s">
        <v>163</v>
      </c>
      <c r="D54" s="457">
        <f>'[3]נספח 2 חישוב הגרעון'!C37</f>
        <v>2180</v>
      </c>
      <c r="E54" s="458"/>
      <c r="F54" s="458">
        <v>0.2</v>
      </c>
      <c r="G54" s="458"/>
      <c r="H54" s="458">
        <v>0.3</v>
      </c>
      <c r="I54" s="458"/>
      <c r="J54" s="458">
        <v>0.2</v>
      </c>
      <c r="K54" s="458"/>
      <c r="L54" s="458">
        <v>0.3</v>
      </c>
      <c r="M54" s="458"/>
    </row>
    <row r="55" spans="1:20" ht="37.5" x14ac:dyDescent="0.3">
      <c r="A55" s="459"/>
      <c r="B55" s="473"/>
      <c r="C55" s="474" t="s">
        <v>1044</v>
      </c>
      <c r="D55" s="475" t="s">
        <v>1045</v>
      </c>
      <c r="E55" s="476" t="s">
        <v>1027</v>
      </c>
      <c r="F55" s="476" t="s">
        <v>1028</v>
      </c>
      <c r="L55" s="458"/>
      <c r="M55" s="458"/>
    </row>
    <row r="56" spans="1:20" ht="75" x14ac:dyDescent="0.3">
      <c r="A56" s="459"/>
      <c r="B56" s="477">
        <v>16</v>
      </c>
      <c r="C56" s="478" t="s">
        <v>1046</v>
      </c>
      <c r="D56" s="479" t="s">
        <v>1103</v>
      </c>
      <c r="E56" s="477">
        <v>240</v>
      </c>
      <c r="F56" s="477">
        <v>240</v>
      </c>
      <c r="L56" s="458"/>
      <c r="M56" s="458"/>
    </row>
    <row r="57" spans="1:20" ht="102" customHeight="1" x14ac:dyDescent="0.3">
      <c r="A57" s="459"/>
      <c r="B57" s="476">
        <v>17</v>
      </c>
      <c r="C57" s="478" t="s">
        <v>1047</v>
      </c>
      <c r="D57" s="480">
        <f>14000*0.7+5000*0.7</f>
        <v>13300</v>
      </c>
      <c r="E57" s="477">
        <f>D57/2</f>
        <v>6650</v>
      </c>
      <c r="F57" s="477">
        <f t="shared" ref="F57:F75" si="2">E57</f>
        <v>6650</v>
      </c>
      <c r="L57" s="458"/>
      <c r="M57" s="458"/>
      <c r="Q57" s="385" t="s">
        <v>1048</v>
      </c>
      <c r="R57" s="385" t="s">
        <v>1040</v>
      </c>
      <c r="S57" s="385">
        <v>750</v>
      </c>
      <c r="T57" s="385">
        <v>500</v>
      </c>
    </row>
    <row r="58" spans="1:20" x14ac:dyDescent="0.3">
      <c r="A58" s="459"/>
      <c r="B58" s="481" t="s">
        <v>1049</v>
      </c>
      <c r="C58" s="478" t="s">
        <v>1102</v>
      </c>
      <c r="D58" s="480">
        <v>13000</v>
      </c>
      <c r="E58" s="477">
        <v>5500</v>
      </c>
      <c r="F58" s="477">
        <v>5500</v>
      </c>
      <c r="L58" s="458"/>
      <c r="M58" s="458"/>
    </row>
    <row r="59" spans="1:20" ht="64.5" customHeight="1" x14ac:dyDescent="0.3">
      <c r="A59" s="459"/>
      <c r="B59" s="481" t="s">
        <v>1050</v>
      </c>
      <c r="C59" s="478" t="s">
        <v>1051</v>
      </c>
      <c r="D59" s="480">
        <v>8000</v>
      </c>
      <c r="E59" s="477">
        <v>4000</v>
      </c>
      <c r="F59" s="477">
        <f t="shared" si="2"/>
        <v>4000</v>
      </c>
      <c r="L59" s="458"/>
      <c r="M59" s="458"/>
    </row>
    <row r="60" spans="1:20" ht="50.25" customHeight="1" x14ac:dyDescent="0.3">
      <c r="A60" s="459"/>
      <c r="B60" s="476">
        <v>19</v>
      </c>
      <c r="C60" s="478" t="s">
        <v>1052</v>
      </c>
      <c r="D60" s="480"/>
      <c r="E60" s="477">
        <v>500</v>
      </c>
      <c r="F60" s="477">
        <v>500</v>
      </c>
      <c r="L60" s="458"/>
      <c r="M60" s="458"/>
    </row>
    <row r="61" spans="1:20" ht="70.5" customHeight="1" x14ac:dyDescent="0.3">
      <c r="A61" s="459"/>
      <c r="B61" s="476">
        <v>20</v>
      </c>
      <c r="C61" s="478" t="s">
        <v>1091</v>
      </c>
      <c r="D61" s="480" t="s">
        <v>1092</v>
      </c>
      <c r="E61" s="477">
        <v>400</v>
      </c>
      <c r="F61" s="477">
        <f t="shared" si="2"/>
        <v>400</v>
      </c>
      <c r="L61" s="458"/>
      <c r="M61" s="458"/>
    </row>
    <row r="62" spans="1:20" ht="50.25" customHeight="1" x14ac:dyDescent="0.3">
      <c r="A62" s="459"/>
      <c r="B62" s="481">
        <v>21</v>
      </c>
      <c r="C62" s="478" t="s">
        <v>1053</v>
      </c>
      <c r="D62" s="480" t="s">
        <v>1094</v>
      </c>
      <c r="E62" s="477">
        <v>150</v>
      </c>
      <c r="F62" s="477">
        <f t="shared" si="2"/>
        <v>150</v>
      </c>
      <c r="L62" s="458"/>
      <c r="M62" s="458"/>
    </row>
    <row r="63" spans="1:20" ht="47.25" customHeight="1" x14ac:dyDescent="0.3">
      <c r="A63" s="459"/>
      <c r="B63" s="481" t="s">
        <v>1054</v>
      </c>
      <c r="C63" s="482" t="s">
        <v>1055</v>
      </c>
      <c r="D63" s="483" t="s">
        <v>1094</v>
      </c>
      <c r="E63" s="477">
        <v>200</v>
      </c>
      <c r="F63" s="477">
        <f t="shared" si="2"/>
        <v>200</v>
      </c>
      <c r="L63" s="458"/>
      <c r="M63" s="458"/>
      <c r="Q63" s="385" t="s">
        <v>1056</v>
      </c>
      <c r="S63" s="385">
        <v>382</v>
      </c>
      <c r="T63" s="385">
        <v>382</v>
      </c>
    </row>
    <row r="64" spans="1:20" x14ac:dyDescent="0.3">
      <c r="A64" s="459"/>
      <c r="B64" s="481" t="s">
        <v>1057</v>
      </c>
      <c r="C64" s="482" t="s">
        <v>1058</v>
      </c>
      <c r="D64" s="506" t="s">
        <v>1095</v>
      </c>
      <c r="E64" s="477">
        <v>200</v>
      </c>
      <c r="F64" s="477">
        <f t="shared" si="2"/>
        <v>200</v>
      </c>
      <c r="I64" s="484"/>
      <c r="L64" s="458"/>
      <c r="M64" s="458"/>
    </row>
    <row r="65" spans="1:20" ht="47.25" customHeight="1" x14ac:dyDescent="0.3">
      <c r="A65" s="459"/>
      <c r="B65" s="481" t="s">
        <v>1059</v>
      </c>
      <c r="C65" s="478" t="s">
        <v>1060</v>
      </c>
      <c r="D65" s="483" t="s">
        <v>1095</v>
      </c>
      <c r="E65" s="477">
        <v>100</v>
      </c>
      <c r="F65" s="477">
        <f t="shared" si="2"/>
        <v>100</v>
      </c>
      <c r="L65" s="458"/>
      <c r="M65" s="458"/>
    </row>
    <row r="66" spans="1:20" ht="52.5" customHeight="1" x14ac:dyDescent="0.3">
      <c r="A66" s="459"/>
      <c r="B66" s="481" t="s">
        <v>1061</v>
      </c>
      <c r="C66" s="478" t="s">
        <v>1062</v>
      </c>
      <c r="D66" s="483" t="s">
        <v>1096</v>
      </c>
      <c r="E66" s="477">
        <v>200</v>
      </c>
      <c r="F66" s="477">
        <f t="shared" si="2"/>
        <v>200</v>
      </c>
      <c r="L66" s="458"/>
      <c r="M66" s="458"/>
    </row>
    <row r="67" spans="1:20" ht="64.5" customHeight="1" x14ac:dyDescent="0.3">
      <c r="A67" s="459"/>
      <c r="B67" s="481" t="s">
        <v>1063</v>
      </c>
      <c r="C67" s="478" t="s">
        <v>1064</v>
      </c>
      <c r="D67" s="483" t="s">
        <v>1092</v>
      </c>
      <c r="E67" s="477">
        <v>100</v>
      </c>
      <c r="F67" s="477">
        <f t="shared" si="2"/>
        <v>100</v>
      </c>
      <c r="L67" s="458"/>
      <c r="M67" s="458"/>
    </row>
    <row r="68" spans="1:20" ht="48.75" customHeight="1" x14ac:dyDescent="0.3">
      <c r="A68" s="459"/>
      <c r="B68" s="481" t="s">
        <v>1065</v>
      </c>
      <c r="C68" s="478" t="s">
        <v>1066</v>
      </c>
      <c r="D68" s="480" t="s">
        <v>1097</v>
      </c>
      <c r="E68" s="477">
        <v>200</v>
      </c>
      <c r="F68" s="477">
        <f t="shared" si="2"/>
        <v>200</v>
      </c>
      <c r="L68" s="458"/>
      <c r="M68" s="458"/>
      <c r="Q68" s="385" t="s">
        <v>1067</v>
      </c>
      <c r="S68" s="385">
        <v>75</v>
      </c>
      <c r="T68" s="385">
        <v>75</v>
      </c>
    </row>
    <row r="69" spans="1:20" ht="56.25" x14ac:dyDescent="0.3">
      <c r="A69" s="459"/>
      <c r="B69" s="476">
        <v>23</v>
      </c>
      <c r="C69" s="485" t="s">
        <v>1068</v>
      </c>
      <c r="D69" s="486" t="s">
        <v>1093</v>
      </c>
      <c r="E69" s="487">
        <v>1000</v>
      </c>
      <c r="F69" s="477">
        <v>1000</v>
      </c>
      <c r="L69" s="458"/>
      <c r="M69" s="458"/>
    </row>
    <row r="70" spans="1:20" ht="37.5" x14ac:dyDescent="0.3">
      <c r="A70" s="459"/>
      <c r="B70" s="476">
        <v>24</v>
      </c>
      <c r="C70" s="485" t="s">
        <v>1069</v>
      </c>
      <c r="D70" s="486" t="s">
        <v>1098</v>
      </c>
      <c r="E70" s="487">
        <v>1000</v>
      </c>
      <c r="F70" s="477">
        <f t="shared" si="2"/>
        <v>1000</v>
      </c>
      <c r="L70" s="458"/>
      <c r="M70" s="458"/>
    </row>
    <row r="71" spans="1:20" x14ac:dyDescent="0.3">
      <c r="A71" s="459"/>
      <c r="B71" s="481">
        <v>25</v>
      </c>
      <c r="C71" s="489" t="s">
        <v>1070</v>
      </c>
      <c r="D71" s="488" t="s">
        <v>1099</v>
      </c>
      <c r="E71" s="487">
        <v>2500</v>
      </c>
      <c r="F71" s="477">
        <f>E71</f>
        <v>2500</v>
      </c>
      <c r="L71" s="458"/>
      <c r="M71" s="458"/>
    </row>
    <row r="72" spans="1:20" ht="75" x14ac:dyDescent="0.3">
      <c r="A72" s="459"/>
      <c r="B72" s="490">
        <v>27</v>
      </c>
      <c r="C72" s="485" t="s">
        <v>1071</v>
      </c>
      <c r="D72" s="488" t="s">
        <v>1100</v>
      </c>
      <c r="E72" s="487">
        <v>100</v>
      </c>
      <c r="F72" s="477">
        <f>E72</f>
        <v>100</v>
      </c>
      <c r="L72" s="458"/>
      <c r="M72" s="458"/>
    </row>
    <row r="73" spans="1:20" ht="75" x14ac:dyDescent="0.3">
      <c r="A73" s="459"/>
      <c r="B73" s="490">
        <v>28</v>
      </c>
      <c r="C73" s="485" t="s">
        <v>1072</v>
      </c>
      <c r="D73" s="488" t="s">
        <v>1073</v>
      </c>
      <c r="E73" s="487">
        <v>800</v>
      </c>
      <c r="F73" s="477">
        <v>800</v>
      </c>
      <c r="I73" s="491"/>
      <c r="L73" s="458"/>
      <c r="M73" s="458"/>
    </row>
    <row r="74" spans="1:20" x14ac:dyDescent="0.3">
      <c r="A74" s="459"/>
      <c r="B74" s="490">
        <v>29</v>
      </c>
      <c r="C74" s="485" t="s">
        <v>1074</v>
      </c>
      <c r="D74" s="488" t="s">
        <v>1101</v>
      </c>
      <c r="E74" s="487">
        <v>300</v>
      </c>
      <c r="F74" s="487">
        <f>E74</f>
        <v>300</v>
      </c>
      <c r="I74" s="491"/>
      <c r="L74" s="458"/>
      <c r="M74" s="458"/>
    </row>
    <row r="75" spans="1:20" ht="96" customHeight="1" x14ac:dyDescent="0.3">
      <c r="A75" s="459"/>
      <c r="B75" s="476">
        <v>30</v>
      </c>
      <c r="C75" s="478" t="s">
        <v>1075</v>
      </c>
      <c r="D75" s="483" t="s">
        <v>1076</v>
      </c>
      <c r="E75" s="477">
        <v>300</v>
      </c>
      <c r="F75" s="477">
        <f t="shared" si="2"/>
        <v>300</v>
      </c>
      <c r="I75" s="385"/>
      <c r="L75" s="458"/>
      <c r="M75" s="458"/>
    </row>
    <row r="76" spans="1:20" x14ac:dyDescent="0.3">
      <c r="A76" s="459"/>
      <c r="B76" s="492"/>
      <c r="C76" s="492"/>
      <c r="D76" s="493" t="s">
        <v>116</v>
      </c>
      <c r="E76" s="493">
        <f>SUM(E56:E75)</f>
        <v>24440</v>
      </c>
      <c r="F76" s="493">
        <f>SUM(F56:F75)</f>
        <v>24440</v>
      </c>
      <c r="H76" s="494"/>
      <c r="I76" s="495"/>
      <c r="J76" s="458"/>
      <c r="K76" s="458"/>
      <c r="L76" s="458"/>
      <c r="M76" s="458"/>
      <c r="R76" s="385" t="s">
        <v>116</v>
      </c>
      <c r="S76" s="385">
        <v>9542.4406249999993</v>
      </c>
      <c r="T76" s="385">
        <v>9501.4406249999993</v>
      </c>
    </row>
    <row r="77" spans="1:20" hidden="1" x14ac:dyDescent="0.3">
      <c r="A77" s="459"/>
      <c r="B77" s="459"/>
      <c r="C77" s="385">
        <f>19000*0.3/0.7</f>
        <v>8142.8571428571431</v>
      </c>
      <c r="D77" s="453" t="e">
        <f>15000-E77</f>
        <v>#REF!</v>
      </c>
      <c r="E77" s="495" t="e">
        <f>E76-#REF!-#REF!-#REF!+D17</f>
        <v>#REF!</v>
      </c>
      <c r="F77" s="495" t="s">
        <v>1040</v>
      </c>
      <c r="G77" s="495" t="s">
        <v>1040</v>
      </c>
      <c r="H77" s="458"/>
      <c r="I77" s="458"/>
      <c r="J77" s="458"/>
      <c r="K77" s="458"/>
      <c r="L77" s="458"/>
      <c r="M77" s="458"/>
    </row>
    <row r="78" spans="1:20" ht="81" hidden="1" customHeight="1" x14ac:dyDescent="0.3">
      <c r="B78" s="495"/>
      <c r="F78" s="394"/>
      <c r="G78" s="394"/>
      <c r="H78" s="394"/>
      <c r="J78" s="394"/>
      <c r="K78" s="394"/>
      <c r="L78" s="394"/>
      <c r="M78" s="394"/>
      <c r="N78" s="496"/>
      <c r="O78" s="496"/>
      <c r="P78" s="394"/>
    </row>
    <row r="79" spans="1:20" ht="81" hidden="1" customHeight="1" x14ac:dyDescent="0.3">
      <c r="B79" s="495"/>
      <c r="C79" s="497"/>
      <c r="D79" s="498" t="s">
        <v>1077</v>
      </c>
      <c r="E79" s="498" t="s">
        <v>1078</v>
      </c>
      <c r="F79" s="394"/>
      <c r="G79" s="394"/>
      <c r="H79" s="394"/>
      <c r="J79" s="394"/>
      <c r="K79" s="394"/>
      <c r="L79" s="394"/>
      <c r="M79" s="394"/>
      <c r="N79" s="496"/>
      <c r="O79" s="496"/>
      <c r="P79" s="394"/>
    </row>
    <row r="80" spans="1:20" ht="81" hidden="1" customHeight="1" x14ac:dyDescent="0.3">
      <c r="B80" s="495"/>
      <c r="C80" s="499" t="s">
        <v>1079</v>
      </c>
      <c r="D80" s="498">
        <f>E76+D34+D15</f>
        <v>30040</v>
      </c>
      <c r="E80" s="498">
        <f>'[3]נספח 2 חישוב הגרעון'!B34</f>
        <v>29980.1875</v>
      </c>
      <c r="F80" s="498">
        <f>E80-D80</f>
        <v>-59.8125</v>
      </c>
      <c r="G80" s="394"/>
      <c r="H80" s="394"/>
      <c r="J80" s="394"/>
      <c r="K80" s="394"/>
      <c r="L80" s="394"/>
      <c r="M80" s="394"/>
      <c r="N80" s="496"/>
      <c r="O80" s="496"/>
      <c r="P80" s="394"/>
    </row>
    <row r="81" spans="2:16" ht="81" hidden="1" customHeight="1" x14ac:dyDescent="0.3">
      <c r="B81" s="495"/>
      <c r="C81" s="500" t="s">
        <v>1080</v>
      </c>
      <c r="D81" s="501" t="e">
        <f>F76+D35+D16</f>
        <v>#N/A</v>
      </c>
      <c r="E81" s="501">
        <f>'[3]נספח 2 חישוב הגרעון'!C34</f>
        <v>29980.1875</v>
      </c>
      <c r="F81" s="501" t="e">
        <f>E81-D81</f>
        <v>#N/A</v>
      </c>
      <c r="G81" s="394"/>
      <c r="H81" s="394"/>
      <c r="J81" s="394"/>
      <c r="K81" s="394"/>
      <c r="L81" s="394"/>
      <c r="M81" s="394"/>
      <c r="N81" s="496"/>
      <c r="O81" s="496"/>
      <c r="P81" s="394"/>
    </row>
    <row r="82" spans="2:16" ht="81" hidden="1" customHeight="1" x14ac:dyDescent="0.3">
      <c r="B82" s="495"/>
      <c r="C82" s="502" t="s">
        <v>116</v>
      </c>
      <c r="D82" s="502" t="e">
        <f>SUM(D80:D81)</f>
        <v>#N/A</v>
      </c>
      <c r="E82" s="502">
        <f>SUM(E80:E81)-1</f>
        <v>59959.375</v>
      </c>
      <c r="F82" s="502" t="e">
        <f>E82-D82</f>
        <v>#N/A</v>
      </c>
      <c r="G82" s="394"/>
      <c r="H82" s="394"/>
      <c r="J82" s="394"/>
      <c r="K82" s="394"/>
      <c r="L82" s="394"/>
      <c r="M82" s="394"/>
      <c r="N82" s="496"/>
      <c r="O82" s="496"/>
      <c r="P82" s="394"/>
    </row>
    <row r="83" spans="2:16" ht="81" hidden="1" customHeight="1" x14ac:dyDescent="0.3">
      <c r="B83" s="495"/>
      <c r="C83" s="495"/>
      <c r="D83" s="495"/>
      <c r="E83" s="495"/>
      <c r="F83" s="394"/>
      <c r="G83" s="394"/>
      <c r="H83" s="394"/>
      <c r="J83" s="394"/>
      <c r="K83" s="394"/>
      <c r="L83" s="394"/>
      <c r="M83" s="394"/>
      <c r="N83" s="496"/>
      <c r="O83" s="496"/>
      <c r="P83" s="394"/>
    </row>
    <row r="84" spans="2:16" ht="81" hidden="1" customHeight="1" x14ac:dyDescent="0.3">
      <c r="B84" s="495"/>
      <c r="C84" s="495"/>
      <c r="D84" s="495"/>
      <c r="E84" s="495"/>
      <c r="F84" s="394"/>
      <c r="G84" s="394"/>
      <c r="H84" s="394"/>
      <c r="J84" s="394"/>
      <c r="K84" s="394"/>
      <c r="L84" s="394"/>
      <c r="M84" s="394"/>
      <c r="N84" s="496"/>
      <c r="O84" s="496"/>
      <c r="P84" s="394"/>
    </row>
    <row r="85" spans="2:16" x14ac:dyDescent="0.3">
      <c r="B85" s="495"/>
      <c r="C85" s="495"/>
      <c r="D85" s="495"/>
      <c r="E85" s="495">
        <f>'[3]נספח 2 חישוב הגרעון'!B38</f>
        <v>22200</v>
      </c>
      <c r="F85" s="394"/>
      <c r="G85" s="394"/>
      <c r="H85" s="394"/>
      <c r="J85" s="394"/>
      <c r="K85" s="394"/>
      <c r="L85" s="394"/>
      <c r="M85" s="394"/>
      <c r="N85" s="496"/>
      <c r="O85" s="496"/>
      <c r="P85" s="394"/>
    </row>
    <row r="86" spans="2:16" x14ac:dyDescent="0.3">
      <c r="B86" s="495"/>
      <c r="C86" s="495"/>
      <c r="D86" s="495"/>
      <c r="E86" s="495">
        <f>E76-E85</f>
        <v>2240</v>
      </c>
      <c r="F86" s="394"/>
      <c r="G86" s="394"/>
      <c r="H86" s="394"/>
      <c r="J86" s="394"/>
      <c r="K86" s="394"/>
      <c r="L86" s="394"/>
      <c r="M86" s="394"/>
      <c r="N86" s="496"/>
      <c r="O86" s="496"/>
      <c r="P86" s="394"/>
    </row>
    <row r="87" spans="2:16" ht="13.5" customHeight="1" x14ac:dyDescent="0.3">
      <c r="E87" s="394"/>
      <c r="F87" s="394"/>
      <c r="G87" s="394"/>
      <c r="H87" s="394"/>
      <c r="J87" s="394"/>
      <c r="K87" s="394"/>
      <c r="L87" s="394"/>
      <c r="M87" s="394"/>
      <c r="N87" s="394"/>
      <c r="O87" s="394"/>
      <c r="P87" s="394"/>
    </row>
    <row r="88" spans="2:16" x14ac:dyDescent="0.3">
      <c r="C88" s="621" t="s">
        <v>1081</v>
      </c>
      <c r="D88" s="621"/>
      <c r="E88" s="621"/>
      <c r="F88" s="621"/>
      <c r="G88" s="621"/>
      <c r="H88" s="621"/>
      <c r="I88" s="621"/>
      <c r="J88" s="621"/>
      <c r="K88" s="621"/>
      <c r="L88" s="621"/>
      <c r="M88" s="394"/>
      <c r="N88" s="394"/>
      <c r="O88" s="394"/>
      <c r="P88" s="394"/>
    </row>
    <row r="89" spans="2:16" x14ac:dyDescent="0.3">
      <c r="C89" s="621" t="s">
        <v>1082</v>
      </c>
      <c r="D89" s="621"/>
      <c r="E89" s="621"/>
      <c r="F89" s="621"/>
      <c r="G89" s="621"/>
      <c r="H89" s="621"/>
      <c r="I89" s="621"/>
      <c r="J89" s="621"/>
      <c r="K89" s="621"/>
      <c r="L89" s="621"/>
      <c r="M89" s="394"/>
      <c r="N89" s="394"/>
      <c r="O89" s="394"/>
      <c r="P89" s="394"/>
    </row>
    <row r="90" spans="2:16" x14ac:dyDescent="0.3">
      <c r="C90" s="621" t="s">
        <v>1083</v>
      </c>
      <c r="D90" s="621"/>
      <c r="E90" s="621"/>
      <c r="F90" s="621"/>
      <c r="G90" s="621"/>
      <c r="H90" s="621"/>
      <c r="I90" s="621"/>
      <c r="J90" s="621"/>
      <c r="K90" s="621"/>
      <c r="N90" s="394"/>
      <c r="O90" s="394"/>
      <c r="P90" s="394"/>
    </row>
    <row r="91" spans="2:16" x14ac:dyDescent="0.3">
      <c r="C91" s="621" t="s">
        <v>1084</v>
      </c>
      <c r="D91" s="621"/>
      <c r="E91" s="621"/>
      <c r="F91" s="621"/>
      <c r="G91" s="621"/>
      <c r="H91" s="621"/>
      <c r="I91" s="621"/>
      <c r="J91" s="621"/>
      <c r="K91" s="621"/>
      <c r="N91" s="394"/>
      <c r="O91" s="394"/>
      <c r="P91" s="394"/>
    </row>
    <row r="92" spans="2:16" x14ac:dyDescent="0.3">
      <c r="C92" s="503"/>
      <c r="D92" s="503"/>
      <c r="E92" s="503"/>
      <c r="F92" s="503"/>
      <c r="G92" s="503"/>
      <c r="H92" s="503"/>
      <c r="I92" s="503"/>
      <c r="J92" s="503"/>
      <c r="K92" s="503"/>
      <c r="N92" s="394"/>
      <c r="O92" s="394"/>
      <c r="P92" s="394"/>
    </row>
    <row r="93" spans="2:16" x14ac:dyDescent="0.3">
      <c r="C93" s="503"/>
      <c r="D93" s="503"/>
      <c r="E93" s="503"/>
      <c r="F93" s="503"/>
      <c r="G93" s="503"/>
      <c r="H93" s="503"/>
      <c r="I93" s="503"/>
      <c r="J93" s="503"/>
      <c r="K93" s="503"/>
      <c r="N93" s="394"/>
      <c r="O93" s="394"/>
      <c r="P93" s="394"/>
    </row>
    <row r="94" spans="2:16" x14ac:dyDescent="0.3">
      <c r="E94" s="394"/>
      <c r="F94" s="394"/>
      <c r="G94" s="394"/>
      <c r="H94" s="394"/>
      <c r="J94" s="394"/>
      <c r="K94" s="394"/>
      <c r="L94" s="394"/>
      <c r="M94" s="394"/>
      <c r="N94" s="394"/>
      <c r="O94" s="394"/>
      <c r="P94" s="394"/>
    </row>
    <row r="95" spans="2:16" x14ac:dyDescent="0.3">
      <c r="C95" s="504" t="s">
        <v>1085</v>
      </c>
      <c r="E95" s="394" t="s">
        <v>1086</v>
      </c>
      <c r="F95" s="504"/>
      <c r="G95" s="394"/>
      <c r="H95" s="394"/>
      <c r="J95" s="394" t="s">
        <v>59</v>
      </c>
      <c r="K95" s="504"/>
      <c r="L95" s="394"/>
      <c r="M95" s="394"/>
      <c r="N95" s="394"/>
      <c r="O95" s="394"/>
      <c r="P95" s="394"/>
    </row>
    <row r="96" spans="2:16" x14ac:dyDescent="0.3">
      <c r="C96" s="484" t="s">
        <v>1087</v>
      </c>
      <c r="E96" s="394" t="s">
        <v>1088</v>
      </c>
      <c r="F96" s="505"/>
      <c r="G96" s="394"/>
      <c r="H96" s="394"/>
      <c r="J96" s="394" t="s">
        <v>61</v>
      </c>
      <c r="K96" s="505"/>
      <c r="L96" s="394"/>
      <c r="M96" s="394"/>
      <c r="N96" s="394"/>
      <c r="O96" s="394"/>
      <c r="P96" s="394"/>
    </row>
    <row r="97" spans="3:16" ht="15.75" customHeight="1" x14ac:dyDescent="0.3">
      <c r="C97" s="484"/>
      <c r="E97" s="394"/>
      <c r="F97" s="394"/>
      <c r="G97" s="394"/>
      <c r="H97" s="394"/>
      <c r="J97" s="394"/>
      <c r="K97" s="394"/>
      <c r="L97" s="394"/>
      <c r="M97" s="394"/>
      <c r="N97" s="394"/>
      <c r="O97" s="394"/>
      <c r="P97" s="394"/>
    </row>
    <row r="98" spans="3:16" x14ac:dyDescent="0.3">
      <c r="E98" s="394"/>
      <c r="F98" s="394"/>
      <c r="G98" s="394"/>
      <c r="H98" s="394"/>
      <c r="J98" s="394"/>
      <c r="K98" s="394"/>
      <c r="L98" s="394"/>
      <c r="M98" s="394"/>
      <c r="N98" s="394"/>
      <c r="O98" s="394"/>
      <c r="P98" s="394"/>
    </row>
    <row r="99" spans="3:16" ht="15.75" customHeight="1" x14ac:dyDescent="0.3">
      <c r="E99" s="394"/>
      <c r="F99" s="394"/>
      <c r="G99" s="394"/>
      <c r="H99" s="394"/>
      <c r="J99" s="394"/>
      <c r="K99" s="394"/>
      <c r="L99" s="394"/>
      <c r="M99" s="394"/>
      <c r="N99" s="394"/>
      <c r="O99" s="394"/>
      <c r="P99" s="394"/>
    </row>
    <row r="100" spans="3:16" x14ac:dyDescent="0.3">
      <c r="E100" s="394"/>
      <c r="F100" s="394"/>
      <c r="G100" s="394"/>
      <c r="H100" s="394"/>
      <c r="J100" s="394"/>
      <c r="K100" s="394"/>
      <c r="L100" s="394"/>
      <c r="M100" s="394"/>
      <c r="N100" s="394"/>
      <c r="O100" s="394"/>
      <c r="P100" s="394"/>
    </row>
    <row r="101" spans="3:16" x14ac:dyDescent="0.3">
      <c r="E101" s="394"/>
      <c r="F101" s="394"/>
      <c r="G101" s="394"/>
      <c r="H101" s="394"/>
      <c r="J101" s="394"/>
      <c r="K101" s="394"/>
      <c r="L101" s="394"/>
      <c r="M101" s="394"/>
      <c r="N101" s="394"/>
      <c r="O101" s="394"/>
      <c r="P101" s="394"/>
    </row>
    <row r="102" spans="3:16" x14ac:dyDescent="0.3">
      <c r="E102" s="394"/>
      <c r="F102" s="394"/>
      <c r="G102" s="394"/>
      <c r="H102" s="394"/>
      <c r="J102" s="394"/>
      <c r="K102" s="394"/>
      <c r="L102" s="394"/>
      <c r="M102" s="394"/>
      <c r="N102" s="394"/>
      <c r="O102" s="394"/>
      <c r="P102" s="394"/>
    </row>
    <row r="103" spans="3:16" ht="20.25" customHeight="1" x14ac:dyDescent="0.3">
      <c r="E103" s="394"/>
      <c r="F103" s="394"/>
      <c r="G103" s="394"/>
      <c r="H103" s="394"/>
      <c r="J103" s="394"/>
      <c r="K103" s="394"/>
      <c r="L103" s="394"/>
      <c r="M103" s="394"/>
      <c r="N103" s="394"/>
      <c r="O103" s="394"/>
      <c r="P103" s="394"/>
    </row>
    <row r="104" spans="3:16" ht="16.5" customHeight="1" x14ac:dyDescent="0.3">
      <c r="E104" s="394"/>
      <c r="F104" s="394"/>
      <c r="G104" s="394"/>
      <c r="H104" s="394"/>
      <c r="J104" s="394"/>
      <c r="K104" s="394"/>
      <c r="L104" s="394"/>
      <c r="M104" s="394"/>
      <c r="N104" s="394"/>
      <c r="O104" s="394"/>
      <c r="P104" s="394"/>
    </row>
    <row r="105" spans="3:16" ht="13.5" customHeight="1" x14ac:dyDescent="0.3">
      <c r="E105" s="394"/>
      <c r="F105" s="394"/>
      <c r="G105" s="394"/>
      <c r="H105" s="394"/>
      <c r="J105" s="394"/>
      <c r="K105" s="394"/>
      <c r="L105" s="394"/>
      <c r="M105" s="394"/>
      <c r="N105" s="394"/>
      <c r="O105" s="394"/>
      <c r="P105" s="394"/>
    </row>
    <row r="106" spans="3:16" x14ac:dyDescent="0.3">
      <c r="E106" s="394"/>
      <c r="F106" s="394"/>
      <c r="G106" s="394"/>
      <c r="H106" s="394"/>
      <c r="J106" s="394"/>
      <c r="K106" s="394"/>
      <c r="L106" s="394"/>
      <c r="M106" s="394"/>
      <c r="N106" s="394"/>
      <c r="O106" s="394"/>
      <c r="P106" s="394"/>
    </row>
    <row r="107" spans="3:16" ht="31.5" customHeight="1" x14ac:dyDescent="0.3">
      <c r="E107" s="394"/>
      <c r="F107" s="394"/>
      <c r="G107" s="394"/>
      <c r="H107" s="394"/>
      <c r="J107" s="394"/>
      <c r="K107" s="394"/>
      <c r="L107" s="394"/>
      <c r="M107" s="394"/>
      <c r="N107" s="394"/>
      <c r="O107" s="394"/>
      <c r="P107" s="394"/>
    </row>
    <row r="108" spans="3:16" x14ac:dyDescent="0.3">
      <c r="E108" s="394"/>
      <c r="F108" s="394"/>
      <c r="G108" s="394"/>
      <c r="H108" s="394"/>
      <c r="J108" s="394"/>
      <c r="K108" s="394"/>
      <c r="L108" s="394"/>
      <c r="M108" s="394"/>
      <c r="N108" s="394"/>
      <c r="O108" s="394"/>
      <c r="P108" s="394"/>
    </row>
    <row r="109" spans="3:16" x14ac:dyDescent="0.3">
      <c r="E109" s="394"/>
      <c r="F109" s="394"/>
      <c r="G109" s="394"/>
      <c r="H109" s="394"/>
      <c r="J109" s="394"/>
      <c r="K109" s="394"/>
      <c r="L109" s="394"/>
      <c r="M109" s="394"/>
      <c r="N109" s="394"/>
      <c r="O109" s="394"/>
      <c r="P109" s="394"/>
    </row>
    <row r="110" spans="3:16" x14ac:dyDescent="0.3">
      <c r="E110" s="394"/>
      <c r="F110" s="394"/>
      <c r="G110" s="394"/>
      <c r="H110" s="394"/>
      <c r="J110" s="394"/>
      <c r="K110" s="394"/>
      <c r="L110" s="394"/>
      <c r="M110" s="394"/>
      <c r="N110" s="394"/>
      <c r="O110" s="394"/>
      <c r="P110" s="394"/>
    </row>
    <row r="111" spans="3:16" x14ac:dyDescent="0.3">
      <c r="E111" s="394"/>
      <c r="F111" s="394"/>
      <c r="G111" s="394"/>
      <c r="H111" s="394"/>
      <c r="J111" s="394"/>
      <c r="K111" s="394"/>
      <c r="L111" s="394"/>
      <c r="M111" s="394"/>
      <c r="N111" s="394"/>
      <c r="O111" s="394"/>
      <c r="P111" s="394"/>
    </row>
    <row r="112" spans="3:16" x14ac:dyDescent="0.3">
      <c r="E112" s="394"/>
      <c r="F112" s="394"/>
      <c r="G112" s="394"/>
      <c r="H112" s="394"/>
      <c r="J112" s="394"/>
      <c r="K112" s="394"/>
      <c r="L112" s="394"/>
      <c r="M112" s="394"/>
      <c r="N112" s="394"/>
      <c r="O112" s="394"/>
      <c r="P112" s="394"/>
    </row>
    <row r="113" spans="5:16" x14ac:dyDescent="0.3">
      <c r="E113" s="394"/>
      <c r="F113" s="394"/>
      <c r="G113" s="394"/>
      <c r="H113" s="394"/>
      <c r="J113" s="394"/>
      <c r="K113" s="394"/>
      <c r="L113" s="394"/>
      <c r="M113" s="394"/>
      <c r="N113" s="394"/>
      <c r="O113" s="394"/>
      <c r="P113" s="394"/>
    </row>
    <row r="114" spans="5:16" ht="15.75" customHeight="1" x14ac:dyDescent="0.3">
      <c r="E114" s="394"/>
      <c r="F114" s="394"/>
      <c r="G114" s="394"/>
      <c r="H114" s="394"/>
      <c r="J114" s="394"/>
      <c r="K114" s="394"/>
      <c r="L114" s="394"/>
      <c r="M114" s="394"/>
      <c r="N114" s="394"/>
      <c r="O114" s="394"/>
      <c r="P114" s="394"/>
    </row>
    <row r="115" spans="5:16" x14ac:dyDescent="0.3">
      <c r="E115" s="394"/>
      <c r="F115" s="394"/>
      <c r="G115" s="394"/>
      <c r="H115" s="394"/>
      <c r="J115" s="394"/>
      <c r="K115" s="394"/>
      <c r="L115" s="394"/>
      <c r="M115" s="394"/>
      <c r="N115" s="394"/>
      <c r="O115" s="394"/>
      <c r="P115" s="394"/>
    </row>
    <row r="116" spans="5:16" ht="15.75" customHeight="1" x14ac:dyDescent="0.3">
      <c r="E116" s="394"/>
      <c r="F116" s="394"/>
      <c r="G116" s="394"/>
      <c r="H116" s="394"/>
      <c r="J116" s="394"/>
      <c r="K116" s="394"/>
      <c r="L116" s="394"/>
      <c r="M116" s="394"/>
      <c r="N116" s="394"/>
      <c r="O116" s="394"/>
      <c r="P116" s="394"/>
    </row>
    <row r="117" spans="5:16" x14ac:dyDescent="0.3">
      <c r="E117" s="394"/>
      <c r="F117" s="394"/>
      <c r="G117" s="394"/>
      <c r="H117" s="394"/>
      <c r="J117" s="394"/>
      <c r="K117" s="394"/>
      <c r="L117" s="394"/>
      <c r="M117" s="394"/>
      <c r="N117" s="394"/>
      <c r="O117" s="394"/>
      <c r="P117" s="394"/>
    </row>
    <row r="118" spans="5:16" x14ac:dyDescent="0.3">
      <c r="E118" s="394"/>
      <c r="F118" s="394"/>
      <c r="G118" s="394"/>
      <c r="H118" s="394"/>
      <c r="J118" s="394"/>
      <c r="K118" s="394"/>
      <c r="L118" s="394"/>
      <c r="M118" s="394"/>
      <c r="N118" s="394"/>
      <c r="O118" s="394"/>
      <c r="P118" s="394"/>
    </row>
    <row r="119" spans="5:16" x14ac:dyDescent="0.3">
      <c r="E119" s="394"/>
      <c r="F119" s="394"/>
      <c r="G119" s="394"/>
      <c r="H119" s="394"/>
      <c r="J119" s="394"/>
      <c r="K119" s="394"/>
      <c r="L119" s="394"/>
      <c r="M119" s="394"/>
      <c r="N119" s="394"/>
      <c r="O119" s="394"/>
      <c r="P119" s="394"/>
    </row>
    <row r="120" spans="5:16" x14ac:dyDescent="0.3">
      <c r="E120" s="394"/>
      <c r="F120" s="394"/>
      <c r="G120" s="394"/>
      <c r="H120" s="394"/>
      <c r="J120" s="394"/>
      <c r="K120" s="394"/>
      <c r="L120" s="394"/>
      <c r="M120" s="394"/>
      <c r="N120" s="394"/>
      <c r="O120" s="394"/>
      <c r="P120" s="394"/>
    </row>
    <row r="121" spans="5:16" x14ac:dyDescent="0.3">
      <c r="E121" s="394"/>
      <c r="F121" s="394"/>
      <c r="G121" s="394"/>
      <c r="H121" s="394"/>
      <c r="J121" s="394"/>
      <c r="K121" s="394"/>
      <c r="L121" s="394"/>
      <c r="M121" s="394"/>
      <c r="N121" s="394"/>
      <c r="O121" s="394"/>
      <c r="P121" s="394"/>
    </row>
    <row r="122" spans="5:16" x14ac:dyDescent="0.3">
      <c r="E122" s="394"/>
      <c r="F122" s="394"/>
      <c r="G122" s="394"/>
      <c r="H122" s="394"/>
      <c r="J122" s="394"/>
      <c r="K122" s="394"/>
      <c r="L122" s="394"/>
      <c r="M122" s="394"/>
      <c r="N122" s="394"/>
      <c r="O122" s="394"/>
      <c r="P122" s="394"/>
    </row>
    <row r="123" spans="5:16" x14ac:dyDescent="0.3">
      <c r="E123" s="394"/>
      <c r="F123" s="394"/>
      <c r="G123" s="394"/>
      <c r="H123" s="394"/>
      <c r="J123" s="394"/>
      <c r="K123" s="394"/>
      <c r="L123" s="394"/>
      <c r="M123" s="394"/>
      <c r="N123" s="394"/>
      <c r="O123" s="394"/>
      <c r="P123" s="394"/>
    </row>
    <row r="124" spans="5:16" x14ac:dyDescent="0.3">
      <c r="E124" s="394"/>
      <c r="F124" s="394"/>
      <c r="G124" s="394"/>
      <c r="H124" s="394"/>
      <c r="J124" s="394"/>
      <c r="K124" s="394"/>
      <c r="L124" s="394"/>
      <c r="M124" s="394"/>
      <c r="N124" s="394"/>
      <c r="O124" s="394"/>
      <c r="P124" s="394"/>
    </row>
    <row r="125" spans="5:16" x14ac:dyDescent="0.3">
      <c r="E125" s="394"/>
      <c r="F125" s="394"/>
      <c r="G125" s="394"/>
      <c r="H125" s="394"/>
      <c r="J125" s="394"/>
      <c r="K125" s="394"/>
      <c r="L125" s="394"/>
      <c r="M125" s="394"/>
      <c r="N125" s="394"/>
      <c r="O125" s="394"/>
      <c r="P125" s="394"/>
    </row>
    <row r="126" spans="5:16" x14ac:dyDescent="0.3">
      <c r="E126" s="394"/>
      <c r="F126" s="394"/>
      <c r="G126" s="394"/>
      <c r="H126" s="394"/>
      <c r="J126" s="394"/>
      <c r="K126" s="394"/>
      <c r="L126" s="394"/>
      <c r="M126" s="394"/>
      <c r="N126" s="394"/>
      <c r="O126" s="394"/>
      <c r="P126" s="394"/>
    </row>
    <row r="127" spans="5:16" x14ac:dyDescent="0.3">
      <c r="E127" s="394"/>
      <c r="F127" s="394"/>
      <c r="G127" s="394"/>
      <c r="H127" s="394"/>
      <c r="J127" s="394"/>
      <c r="K127" s="394"/>
      <c r="L127" s="394"/>
      <c r="M127" s="394"/>
      <c r="N127" s="394"/>
      <c r="O127" s="394"/>
      <c r="P127" s="394"/>
    </row>
    <row r="128" spans="5:16" x14ac:dyDescent="0.3">
      <c r="E128" s="394"/>
      <c r="F128" s="394"/>
      <c r="G128" s="394"/>
      <c r="H128" s="394"/>
      <c r="J128" s="394"/>
      <c r="K128" s="394"/>
      <c r="L128" s="394"/>
      <c r="M128" s="394"/>
      <c r="N128" s="394"/>
      <c r="O128" s="394"/>
      <c r="P128" s="394"/>
    </row>
    <row r="129" spans="5:16" x14ac:dyDescent="0.3">
      <c r="E129" s="394"/>
      <c r="F129" s="394"/>
      <c r="G129" s="394"/>
      <c r="H129" s="394"/>
      <c r="J129" s="394"/>
      <c r="K129" s="394"/>
      <c r="L129" s="394"/>
      <c r="M129" s="394"/>
      <c r="N129" s="394"/>
      <c r="O129" s="394"/>
      <c r="P129" s="394"/>
    </row>
    <row r="130" spans="5:16" x14ac:dyDescent="0.3">
      <c r="E130" s="394"/>
      <c r="F130" s="394"/>
      <c r="G130" s="394"/>
      <c r="H130" s="394"/>
      <c r="J130" s="394"/>
      <c r="K130" s="394"/>
      <c r="L130" s="394"/>
      <c r="M130" s="394"/>
      <c r="N130" s="394"/>
      <c r="O130" s="394"/>
      <c r="P130" s="394"/>
    </row>
    <row r="131" spans="5:16" x14ac:dyDescent="0.3">
      <c r="E131" s="394"/>
      <c r="F131" s="394"/>
      <c r="G131" s="394"/>
      <c r="H131" s="394"/>
      <c r="J131" s="394"/>
      <c r="K131" s="394"/>
      <c r="L131" s="394"/>
      <c r="M131" s="394"/>
      <c r="N131" s="394"/>
      <c r="O131" s="394"/>
      <c r="P131" s="394"/>
    </row>
    <row r="132" spans="5:16" x14ac:dyDescent="0.3">
      <c r="E132" s="394"/>
      <c r="F132" s="394"/>
      <c r="G132" s="394"/>
      <c r="H132" s="394"/>
      <c r="J132" s="394"/>
      <c r="K132" s="394"/>
      <c r="L132" s="394"/>
      <c r="M132" s="394"/>
      <c r="N132" s="394"/>
      <c r="O132" s="394"/>
      <c r="P132" s="394"/>
    </row>
    <row r="133" spans="5:16" x14ac:dyDescent="0.3">
      <c r="E133" s="394"/>
      <c r="F133" s="394"/>
      <c r="G133" s="394"/>
      <c r="H133" s="394"/>
      <c r="J133" s="394"/>
      <c r="K133" s="394"/>
      <c r="L133" s="394"/>
      <c r="M133" s="394"/>
      <c r="N133" s="394"/>
      <c r="O133" s="394"/>
      <c r="P133" s="394"/>
    </row>
    <row r="134" spans="5:16" x14ac:dyDescent="0.3">
      <c r="E134" s="394"/>
      <c r="F134" s="394"/>
      <c r="G134" s="394"/>
      <c r="H134" s="394"/>
      <c r="J134" s="394"/>
      <c r="K134" s="394"/>
      <c r="L134" s="394"/>
      <c r="M134" s="394"/>
      <c r="N134" s="394"/>
      <c r="O134" s="394"/>
      <c r="P134" s="394"/>
    </row>
    <row r="135" spans="5:16" x14ac:dyDescent="0.3">
      <c r="E135" s="394"/>
      <c r="F135" s="394"/>
      <c r="G135" s="394"/>
      <c r="H135" s="394"/>
      <c r="J135" s="394"/>
      <c r="K135" s="394"/>
      <c r="L135" s="394"/>
      <c r="M135" s="394"/>
      <c r="N135" s="394"/>
      <c r="O135" s="394"/>
      <c r="P135" s="394"/>
    </row>
    <row r="136" spans="5:16" x14ac:dyDescent="0.3">
      <c r="E136" s="394"/>
      <c r="F136" s="394"/>
      <c r="G136" s="394"/>
      <c r="H136" s="394"/>
      <c r="J136" s="394"/>
      <c r="K136" s="394"/>
      <c r="L136" s="394"/>
      <c r="M136" s="394"/>
      <c r="N136" s="394"/>
      <c r="O136" s="394"/>
      <c r="P136" s="394"/>
    </row>
    <row r="137" spans="5:16" x14ac:dyDescent="0.3">
      <c r="E137" s="394"/>
      <c r="F137" s="394"/>
      <c r="G137" s="394"/>
      <c r="H137" s="394"/>
      <c r="J137" s="394"/>
      <c r="K137" s="394"/>
      <c r="L137" s="394"/>
      <c r="M137" s="394"/>
      <c r="N137" s="394"/>
      <c r="O137" s="394"/>
      <c r="P137" s="394"/>
    </row>
    <row r="138" spans="5:16" x14ac:dyDescent="0.3">
      <c r="E138" s="394"/>
      <c r="F138" s="394"/>
      <c r="G138" s="394"/>
      <c r="H138" s="394"/>
      <c r="J138" s="394"/>
      <c r="K138" s="394"/>
      <c r="L138" s="394"/>
      <c r="M138" s="394"/>
      <c r="N138" s="394"/>
      <c r="O138" s="394"/>
      <c r="P138" s="394"/>
    </row>
    <row r="139" spans="5:16" x14ac:dyDescent="0.3">
      <c r="E139" s="394"/>
      <c r="F139" s="394"/>
      <c r="G139" s="394"/>
      <c r="H139" s="394"/>
      <c r="J139" s="394"/>
      <c r="K139" s="394"/>
      <c r="L139" s="394"/>
      <c r="M139" s="394"/>
      <c r="N139" s="394"/>
      <c r="O139" s="394"/>
      <c r="P139" s="394"/>
    </row>
    <row r="140" spans="5:16" x14ac:dyDescent="0.3">
      <c r="E140" s="394"/>
      <c r="F140" s="394"/>
      <c r="G140" s="394"/>
      <c r="H140" s="394"/>
      <c r="J140" s="394"/>
      <c r="K140" s="394"/>
      <c r="L140" s="394"/>
      <c r="M140" s="394"/>
      <c r="N140" s="394"/>
      <c r="O140" s="394"/>
      <c r="P140" s="394"/>
    </row>
    <row r="141" spans="5:16" x14ac:dyDescent="0.3">
      <c r="E141" s="394"/>
      <c r="F141" s="394"/>
      <c r="G141" s="394"/>
      <c r="H141" s="394"/>
      <c r="J141" s="394"/>
      <c r="K141" s="394"/>
      <c r="L141" s="394"/>
      <c r="M141" s="394"/>
      <c r="N141" s="394"/>
      <c r="O141" s="394"/>
      <c r="P141" s="394"/>
    </row>
    <row r="142" spans="5:16" x14ac:dyDescent="0.3">
      <c r="E142" s="394"/>
      <c r="F142" s="394"/>
      <c r="G142" s="394"/>
      <c r="H142" s="394"/>
      <c r="J142" s="394"/>
      <c r="K142" s="394"/>
    </row>
    <row r="143" spans="5:16" x14ac:dyDescent="0.3">
      <c r="E143" s="394"/>
      <c r="F143" s="394"/>
      <c r="G143" s="394"/>
      <c r="H143" s="394"/>
      <c r="J143" s="394"/>
      <c r="K143" s="394"/>
    </row>
    <row r="144" spans="5:16" x14ac:dyDescent="0.3">
      <c r="E144" s="394"/>
      <c r="F144" s="394"/>
      <c r="G144" s="394"/>
      <c r="H144" s="394"/>
      <c r="J144" s="394"/>
      <c r="K144" s="394"/>
    </row>
    <row r="145" spans="5:5" x14ac:dyDescent="0.3">
      <c r="E145" s="394"/>
    </row>
    <row r="146" spans="5:5" x14ac:dyDescent="0.3">
      <c r="E146" s="394"/>
    </row>
    <row r="147" spans="5:5" x14ac:dyDescent="0.3">
      <c r="E147" s="394"/>
    </row>
  </sheetData>
  <mergeCells count="41">
    <mergeCell ref="C91:K91"/>
    <mergeCell ref="A44:A48"/>
    <mergeCell ref="A51:B52"/>
    <mergeCell ref="A54:B54"/>
    <mergeCell ref="C88:L88"/>
    <mergeCell ref="C89:L89"/>
    <mergeCell ref="C90:K90"/>
    <mergeCell ref="A26:A30"/>
    <mergeCell ref="A33:B34"/>
    <mergeCell ref="A36:B36"/>
    <mergeCell ref="A39:A41"/>
    <mergeCell ref="B39:B41"/>
    <mergeCell ref="C39:C41"/>
    <mergeCell ref="D21:L21"/>
    <mergeCell ref="D22:D23"/>
    <mergeCell ref="E22:F22"/>
    <mergeCell ref="G22:H22"/>
    <mergeCell ref="I22:J22"/>
    <mergeCell ref="K22:L22"/>
    <mergeCell ref="C21:C23"/>
    <mergeCell ref="D39:L39"/>
    <mergeCell ref="D40:D41"/>
    <mergeCell ref="E40:F40"/>
    <mergeCell ref="G40:H40"/>
    <mergeCell ref="I40:J40"/>
    <mergeCell ref="K40:L40"/>
    <mergeCell ref="A8:A12"/>
    <mergeCell ref="A15:B16"/>
    <mergeCell ref="A17:B18"/>
    <mergeCell ref="A21:A23"/>
    <mergeCell ref="B21:B23"/>
    <mergeCell ref="A1:M1"/>
    <mergeCell ref="A4:A6"/>
    <mergeCell ref="B4:B6"/>
    <mergeCell ref="C4:C6"/>
    <mergeCell ref="D4:L4"/>
    <mergeCell ref="D5:D6"/>
    <mergeCell ref="E5:F5"/>
    <mergeCell ref="G5:H5"/>
    <mergeCell ref="I5:J5"/>
    <mergeCell ref="K5:L5"/>
  </mergeCells>
  <pageMargins left="0.7" right="0.7" top="0.75" bottom="0.75" header="0.3" footer="0.3"/>
  <pageSetup paperSize="9" scale="50" orientation="portrait" r:id="rId1"/>
  <rowBreaks count="1" manualBreakCount="1">
    <brk id="54" max="1638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8"/>
  <sheetViews>
    <sheetView rightToLeft="1" topLeftCell="A126" zoomScale="90" zoomScaleNormal="90" workbookViewId="0">
      <selection activeCell="N157" sqref="N157"/>
    </sheetView>
  </sheetViews>
  <sheetFormatPr defaultColWidth="9.140625" defaultRowHeight="15" x14ac:dyDescent="0.2"/>
  <cols>
    <col min="1" max="1" width="11.7109375" style="157" customWidth="1"/>
    <col min="2" max="2" width="9.7109375" style="157" customWidth="1"/>
    <col min="3" max="3" width="14.42578125" style="157" customWidth="1"/>
    <col min="4" max="4" width="10.140625" style="157" customWidth="1"/>
    <col min="5" max="5" width="9" style="157" customWidth="1"/>
    <col min="6" max="6" width="19.140625" style="157" bestFit="1" customWidth="1"/>
    <col min="7" max="7" width="20.42578125" style="157" bestFit="1" customWidth="1"/>
    <col min="8" max="8" width="6.5703125" style="157" bestFit="1" customWidth="1"/>
    <col min="9" max="9" width="14.140625" style="212" bestFit="1" customWidth="1"/>
    <col min="10" max="10" width="7.7109375" style="212" customWidth="1"/>
    <col min="11" max="11" width="14.140625" style="212" bestFit="1" customWidth="1"/>
    <col min="12" max="12" width="7.7109375" style="212" customWidth="1"/>
    <col min="13" max="13" width="12.85546875" style="157" bestFit="1" customWidth="1"/>
    <col min="14" max="16384" width="9.140625" style="157"/>
  </cols>
  <sheetData>
    <row r="1" spans="1:13" x14ac:dyDescent="0.2">
      <c r="A1" s="622" t="s">
        <v>306</v>
      </c>
      <c r="B1" s="622"/>
      <c r="C1" s="622"/>
      <c r="D1" s="622"/>
      <c r="E1" s="622"/>
      <c r="F1" s="622"/>
      <c r="G1" s="622"/>
      <c r="H1" s="622"/>
      <c r="I1" s="622"/>
      <c r="J1" s="155"/>
      <c r="K1" s="156"/>
      <c r="L1" s="156"/>
      <c r="M1" s="156"/>
    </row>
    <row r="2" spans="1:13" x14ac:dyDescent="0.2">
      <c r="A2" s="622" t="s">
        <v>307</v>
      </c>
      <c r="B2" s="622"/>
      <c r="C2" s="622"/>
      <c r="D2" s="622"/>
      <c r="E2" s="622"/>
      <c r="F2" s="622"/>
      <c r="G2" s="622"/>
      <c r="H2" s="622"/>
      <c r="I2" s="622"/>
      <c r="J2" s="155"/>
      <c r="K2" s="156"/>
      <c r="L2" s="156"/>
      <c r="M2" s="156"/>
    </row>
    <row r="3" spans="1:13" s="161" customFormat="1" ht="31.5" x14ac:dyDescent="0.2">
      <c r="A3" s="158" t="s">
        <v>308</v>
      </c>
      <c r="B3" s="158" t="s">
        <v>309</v>
      </c>
      <c r="C3" s="158" t="s">
        <v>310</v>
      </c>
      <c r="D3" s="158" t="s">
        <v>311</v>
      </c>
      <c r="E3" s="158" t="s">
        <v>312</v>
      </c>
      <c r="F3" s="158" t="s">
        <v>313</v>
      </c>
      <c r="G3" s="158" t="s">
        <v>314</v>
      </c>
      <c r="H3" s="158" t="s">
        <v>315</v>
      </c>
      <c r="I3" s="159" t="s">
        <v>108</v>
      </c>
      <c r="J3" s="159" t="s">
        <v>316</v>
      </c>
      <c r="K3" s="159" t="s">
        <v>109</v>
      </c>
      <c r="L3" s="159" t="s">
        <v>317</v>
      </c>
      <c r="M3" s="160" t="s">
        <v>110</v>
      </c>
    </row>
    <row r="4" spans="1:13" x14ac:dyDescent="0.2">
      <c r="A4" s="156">
        <v>1</v>
      </c>
      <c r="B4" s="162" t="s">
        <v>318</v>
      </c>
      <c r="C4" s="162" t="s">
        <v>319</v>
      </c>
      <c r="D4" s="163">
        <v>5223585</v>
      </c>
      <c r="E4" s="163">
        <v>611100</v>
      </c>
      <c r="F4" s="162" t="s">
        <v>320</v>
      </c>
      <c r="G4" s="162" t="s">
        <v>321</v>
      </c>
      <c r="H4" s="164">
        <v>1</v>
      </c>
      <c r="I4" s="165">
        <v>770000</v>
      </c>
      <c r="J4" s="164">
        <v>1</v>
      </c>
      <c r="K4" s="165">
        <v>770000</v>
      </c>
      <c r="L4" s="164">
        <v>1</v>
      </c>
      <c r="M4" s="165">
        <v>770000</v>
      </c>
    </row>
    <row r="5" spans="1:13" s="171" customFormat="1" x14ac:dyDescent="0.2">
      <c r="A5" s="166" t="s">
        <v>322</v>
      </c>
      <c r="B5" s="167"/>
      <c r="C5" s="168"/>
      <c r="D5" s="168"/>
      <c r="E5" s="169"/>
      <c r="F5" s="169"/>
      <c r="G5" s="168"/>
      <c r="H5" s="170">
        <f>SUM(H4)</f>
        <v>1</v>
      </c>
      <c r="I5" s="170">
        <f>SUM(I4:I4)</f>
        <v>770000</v>
      </c>
      <c r="J5" s="170">
        <f>SUM(J4)</f>
        <v>1</v>
      </c>
      <c r="K5" s="170">
        <f t="shared" ref="K5:M5" si="0">SUM(K4:K4)</f>
        <v>770000</v>
      </c>
      <c r="L5" s="170">
        <f>SUM(L4)</f>
        <v>1</v>
      </c>
      <c r="M5" s="170">
        <f t="shared" si="0"/>
        <v>770000</v>
      </c>
    </row>
    <row r="6" spans="1:13" x14ac:dyDescent="0.2">
      <c r="A6" s="156">
        <v>1</v>
      </c>
      <c r="B6" s="162" t="s">
        <v>323</v>
      </c>
      <c r="C6" s="162" t="s">
        <v>324</v>
      </c>
      <c r="D6" s="163">
        <v>2332857</v>
      </c>
      <c r="E6" s="163">
        <v>611200</v>
      </c>
      <c r="F6" s="162" t="s">
        <v>325</v>
      </c>
      <c r="G6" s="162" t="s">
        <v>326</v>
      </c>
      <c r="H6" s="164">
        <v>1</v>
      </c>
      <c r="I6" s="165">
        <v>147000</v>
      </c>
      <c r="J6" s="164">
        <v>1</v>
      </c>
      <c r="K6" s="165">
        <v>147000</v>
      </c>
      <c r="L6" s="164">
        <v>1</v>
      </c>
      <c r="M6" s="165">
        <v>147000</v>
      </c>
    </row>
    <row r="7" spans="1:13" s="171" customFormat="1" x14ac:dyDescent="0.2">
      <c r="A7" s="166" t="s">
        <v>327</v>
      </c>
      <c r="B7" s="167"/>
      <c r="C7" s="168"/>
      <c r="D7" s="168"/>
      <c r="E7" s="169"/>
      <c r="F7" s="169"/>
      <c r="G7" s="168"/>
      <c r="H7" s="170"/>
      <c r="I7" s="170">
        <f>SUM(I6)</f>
        <v>147000</v>
      </c>
      <c r="J7" s="170"/>
      <c r="K7" s="170">
        <f t="shared" ref="K7:M7" si="1">SUM(K6)</f>
        <v>147000</v>
      </c>
      <c r="L7" s="170"/>
      <c r="M7" s="170">
        <f t="shared" si="1"/>
        <v>147000</v>
      </c>
    </row>
    <row r="8" spans="1:13" x14ac:dyDescent="0.2">
      <c r="A8" s="156">
        <v>1</v>
      </c>
      <c r="B8" s="162" t="s">
        <v>328</v>
      </c>
      <c r="C8" s="162" t="s">
        <v>329</v>
      </c>
      <c r="D8" s="163">
        <v>2478159</v>
      </c>
      <c r="E8" s="163">
        <v>612000</v>
      </c>
      <c r="F8" s="162" t="s">
        <v>330</v>
      </c>
      <c r="G8" s="162" t="s">
        <v>331</v>
      </c>
      <c r="H8" s="164">
        <v>0.5</v>
      </c>
      <c r="I8" s="172">
        <v>210000</v>
      </c>
      <c r="J8" s="164">
        <v>0.5</v>
      </c>
      <c r="K8" s="172">
        <v>210000</v>
      </c>
      <c r="L8" s="164">
        <v>0.5</v>
      </c>
      <c r="M8" s="165">
        <v>210000</v>
      </c>
    </row>
    <row r="9" spans="1:13" s="171" customFormat="1" x14ac:dyDescent="0.2">
      <c r="A9" s="166" t="s">
        <v>332</v>
      </c>
      <c r="B9" s="167"/>
      <c r="C9" s="168"/>
      <c r="D9" s="168"/>
      <c r="E9" s="169"/>
      <c r="F9" s="169"/>
      <c r="G9" s="168"/>
      <c r="H9" s="170"/>
      <c r="I9" s="170">
        <f>SUM(I8)</f>
        <v>210000</v>
      </c>
      <c r="J9" s="170"/>
      <c r="K9" s="170">
        <f t="shared" ref="K9:M9" si="2">SUM(K8)</f>
        <v>210000</v>
      </c>
      <c r="L9" s="170"/>
      <c r="M9" s="170">
        <f t="shared" si="2"/>
        <v>210000</v>
      </c>
    </row>
    <row r="10" spans="1:13" x14ac:dyDescent="0.2">
      <c r="A10" s="156">
        <v>1</v>
      </c>
      <c r="B10" s="162" t="s">
        <v>333</v>
      </c>
      <c r="C10" s="162" t="s">
        <v>334</v>
      </c>
      <c r="D10" s="163">
        <v>5994911</v>
      </c>
      <c r="E10" s="163">
        <v>613000</v>
      </c>
      <c r="F10" s="162" t="s">
        <v>335</v>
      </c>
      <c r="G10" s="162" t="s">
        <v>336</v>
      </c>
      <c r="H10" s="164">
        <v>1</v>
      </c>
      <c r="I10" s="172">
        <v>400000</v>
      </c>
      <c r="J10" s="164">
        <v>1</v>
      </c>
      <c r="K10" s="172">
        <v>410000</v>
      </c>
      <c r="L10" s="164">
        <v>1</v>
      </c>
      <c r="M10" s="165">
        <v>410000</v>
      </c>
    </row>
    <row r="11" spans="1:13" x14ac:dyDescent="0.2">
      <c r="A11" s="156">
        <v>1</v>
      </c>
      <c r="B11" s="162" t="s">
        <v>337</v>
      </c>
      <c r="C11" s="162" t="s">
        <v>338</v>
      </c>
      <c r="D11" s="163">
        <v>2910356</v>
      </c>
      <c r="E11" s="163">
        <v>613000</v>
      </c>
      <c r="F11" s="162" t="s">
        <v>339</v>
      </c>
      <c r="G11" s="162" t="s">
        <v>326</v>
      </c>
      <c r="H11" s="164">
        <v>1</v>
      </c>
      <c r="I11" s="172">
        <v>93250</v>
      </c>
      <c r="J11" s="164">
        <v>1</v>
      </c>
      <c r="K11" s="172">
        <v>93250</v>
      </c>
      <c r="L11" s="164">
        <v>1</v>
      </c>
      <c r="M11" s="165">
        <v>93250</v>
      </c>
    </row>
    <row r="12" spans="1:13" s="171" customFormat="1" x14ac:dyDescent="0.2">
      <c r="A12" s="166" t="s">
        <v>340</v>
      </c>
      <c r="B12" s="167"/>
      <c r="C12" s="168"/>
      <c r="D12" s="168"/>
      <c r="E12" s="169"/>
      <c r="F12" s="169"/>
      <c r="G12" s="168"/>
      <c r="H12" s="170"/>
      <c r="I12" s="170">
        <f>SUM(I10:I11)</f>
        <v>493250</v>
      </c>
      <c r="J12" s="170"/>
      <c r="K12" s="170">
        <f t="shared" ref="K12:M12" si="3">SUM(K10:K11)</f>
        <v>503250</v>
      </c>
      <c r="L12" s="170"/>
      <c r="M12" s="170">
        <f t="shared" si="3"/>
        <v>503250</v>
      </c>
    </row>
    <row r="13" spans="1:13" x14ac:dyDescent="0.2">
      <c r="A13" s="156">
        <v>1</v>
      </c>
      <c r="B13" s="162" t="s">
        <v>341</v>
      </c>
      <c r="C13" s="162" t="s">
        <v>342</v>
      </c>
      <c r="D13" s="163">
        <v>2751043</v>
      </c>
      <c r="E13" s="163">
        <v>615000</v>
      </c>
      <c r="F13" s="162" t="s">
        <v>343</v>
      </c>
      <c r="G13" s="162" t="s">
        <v>344</v>
      </c>
      <c r="H13" s="164">
        <v>0.7</v>
      </c>
      <c r="I13" s="165">
        <v>80155</v>
      </c>
      <c r="J13" s="164">
        <v>0.7</v>
      </c>
      <c r="K13" s="165">
        <v>80155</v>
      </c>
      <c r="L13" s="164">
        <v>0.7</v>
      </c>
      <c r="M13" s="165">
        <v>80155</v>
      </c>
    </row>
    <row r="14" spans="1:13" x14ac:dyDescent="0.2">
      <c r="A14" s="156">
        <v>1</v>
      </c>
      <c r="B14" s="162" t="s">
        <v>345</v>
      </c>
      <c r="C14" s="162" t="s">
        <v>346</v>
      </c>
      <c r="D14" s="163">
        <v>2815172</v>
      </c>
      <c r="E14" s="163">
        <v>615000</v>
      </c>
      <c r="F14" s="162" t="s">
        <v>343</v>
      </c>
      <c r="G14" s="162" t="s">
        <v>344</v>
      </c>
      <c r="H14" s="164" t="s">
        <v>347</v>
      </c>
      <c r="I14" s="165">
        <v>60000</v>
      </c>
      <c r="J14" s="164" t="s">
        <v>347</v>
      </c>
      <c r="K14" s="165">
        <v>0</v>
      </c>
      <c r="L14" s="164" t="s">
        <v>347</v>
      </c>
      <c r="M14" s="165">
        <v>0</v>
      </c>
    </row>
    <row r="15" spans="1:13" x14ac:dyDescent="0.2">
      <c r="A15" s="156">
        <v>1</v>
      </c>
      <c r="B15" s="173" t="s">
        <v>348</v>
      </c>
      <c r="C15" s="173" t="s">
        <v>348</v>
      </c>
      <c r="D15" s="174">
        <v>99999999</v>
      </c>
      <c r="E15" s="175">
        <v>615000</v>
      </c>
      <c r="F15" s="173" t="s">
        <v>349</v>
      </c>
      <c r="G15" s="173" t="s">
        <v>350</v>
      </c>
      <c r="H15" s="176">
        <v>0.25</v>
      </c>
      <c r="I15" s="177">
        <v>35000</v>
      </c>
      <c r="J15" s="176">
        <v>0.25</v>
      </c>
      <c r="K15" s="177">
        <v>35000</v>
      </c>
      <c r="L15" s="176">
        <v>0.25</v>
      </c>
      <c r="M15" s="165">
        <v>35000</v>
      </c>
    </row>
    <row r="16" spans="1:13" x14ac:dyDescent="0.2">
      <c r="A16" s="156">
        <v>1</v>
      </c>
      <c r="B16" s="162" t="s">
        <v>323</v>
      </c>
      <c r="C16" s="162" t="s">
        <v>324</v>
      </c>
      <c r="D16" s="163">
        <v>5581635</v>
      </c>
      <c r="E16" s="163">
        <v>615000</v>
      </c>
      <c r="F16" s="162" t="s">
        <v>343</v>
      </c>
      <c r="G16" s="162" t="s">
        <v>351</v>
      </c>
      <c r="H16" s="164">
        <v>0.5</v>
      </c>
      <c r="I16" s="165">
        <v>60000</v>
      </c>
      <c r="J16" s="164">
        <v>0.5</v>
      </c>
      <c r="K16" s="165">
        <v>60000</v>
      </c>
      <c r="L16" s="164">
        <v>0.5</v>
      </c>
      <c r="M16" s="165">
        <v>60000</v>
      </c>
    </row>
    <row r="17" spans="1:14" ht="14.25" customHeight="1" x14ac:dyDescent="0.2">
      <c r="A17" s="156">
        <v>1</v>
      </c>
      <c r="B17" s="162" t="s">
        <v>352</v>
      </c>
      <c r="C17" s="162" t="s">
        <v>353</v>
      </c>
      <c r="D17" s="163">
        <v>5944912</v>
      </c>
      <c r="E17" s="163">
        <v>615000</v>
      </c>
      <c r="F17" s="162" t="s">
        <v>343</v>
      </c>
      <c r="G17" s="162" t="s">
        <v>354</v>
      </c>
      <c r="H17" s="164">
        <v>1</v>
      </c>
      <c r="I17" s="165">
        <v>165000</v>
      </c>
      <c r="J17" s="164">
        <v>1</v>
      </c>
      <c r="K17" s="165">
        <v>165000</v>
      </c>
      <c r="L17" s="164">
        <v>1</v>
      </c>
      <c r="M17" s="165">
        <v>165000</v>
      </c>
    </row>
    <row r="18" spans="1:14" ht="14.25" customHeight="1" x14ac:dyDescent="0.2">
      <c r="A18" s="156">
        <v>1</v>
      </c>
      <c r="B18" s="162" t="s">
        <v>355</v>
      </c>
      <c r="C18" s="162" t="s">
        <v>356</v>
      </c>
      <c r="D18" s="163">
        <v>5947278</v>
      </c>
      <c r="E18" s="163">
        <v>615000</v>
      </c>
      <c r="F18" s="162" t="s">
        <v>343</v>
      </c>
      <c r="G18" s="162" t="s">
        <v>357</v>
      </c>
      <c r="H18" s="164">
        <v>0.5</v>
      </c>
      <c r="I18" s="165">
        <v>70000</v>
      </c>
      <c r="J18" s="164">
        <v>0.5</v>
      </c>
      <c r="K18" s="165">
        <v>70000</v>
      </c>
      <c r="L18" s="164">
        <v>0.5</v>
      </c>
      <c r="M18" s="165">
        <v>70000</v>
      </c>
    </row>
    <row r="19" spans="1:14" ht="14.25" customHeight="1" x14ac:dyDescent="0.2">
      <c r="A19" s="156">
        <v>1</v>
      </c>
      <c r="B19" s="162" t="s">
        <v>358</v>
      </c>
      <c r="C19" s="162" t="s">
        <v>359</v>
      </c>
      <c r="D19" s="163">
        <v>5445944</v>
      </c>
      <c r="E19" s="163">
        <v>615000</v>
      </c>
      <c r="F19" s="162" t="s">
        <v>343</v>
      </c>
      <c r="G19" s="162" t="s">
        <v>360</v>
      </c>
      <c r="H19" s="164">
        <v>0.5</v>
      </c>
      <c r="I19" s="165">
        <v>80000</v>
      </c>
      <c r="J19" s="164">
        <v>0.5</v>
      </c>
      <c r="K19" s="165">
        <v>80000</v>
      </c>
      <c r="L19" s="164">
        <v>0.5</v>
      </c>
      <c r="M19" s="165">
        <v>80000</v>
      </c>
    </row>
    <row r="20" spans="1:14" ht="14.25" customHeight="1" x14ac:dyDescent="0.2">
      <c r="A20" s="156">
        <v>1</v>
      </c>
      <c r="B20" s="162" t="s">
        <v>361</v>
      </c>
      <c r="C20" s="162" t="s">
        <v>362</v>
      </c>
      <c r="D20" s="163">
        <v>8094430</v>
      </c>
      <c r="E20" s="163">
        <v>615000</v>
      </c>
      <c r="F20" s="162" t="s">
        <v>343</v>
      </c>
      <c r="G20" s="162" t="s">
        <v>363</v>
      </c>
      <c r="H20" s="164">
        <v>0.5</v>
      </c>
      <c r="I20" s="165">
        <v>60000</v>
      </c>
      <c r="J20" s="164">
        <v>0.5</v>
      </c>
      <c r="K20" s="165">
        <v>60000</v>
      </c>
      <c r="L20" s="164">
        <v>0.5</v>
      </c>
      <c r="M20" s="165">
        <v>60000</v>
      </c>
    </row>
    <row r="21" spans="1:14" ht="21" customHeight="1" x14ac:dyDescent="0.2">
      <c r="A21" s="166" t="s">
        <v>364</v>
      </c>
      <c r="B21" s="168"/>
      <c r="C21" s="168"/>
      <c r="D21" s="169"/>
      <c r="E21" s="169"/>
      <c r="F21" s="168"/>
      <c r="G21" s="168"/>
      <c r="H21" s="178"/>
      <c r="I21" s="170">
        <f>SUM(I13:I20)</f>
        <v>610155</v>
      </c>
      <c r="J21" s="178"/>
      <c r="K21" s="170">
        <f t="shared" ref="K21:M21" si="4">SUM(K13:K20)</f>
        <v>550155</v>
      </c>
      <c r="L21" s="178"/>
      <c r="M21" s="170">
        <f t="shared" si="4"/>
        <v>550155</v>
      </c>
    </row>
    <row r="22" spans="1:14" ht="14.25" customHeight="1" x14ac:dyDescent="0.2">
      <c r="A22" s="156">
        <v>1</v>
      </c>
      <c r="B22" s="162" t="s">
        <v>365</v>
      </c>
      <c r="C22" s="162" t="s">
        <v>366</v>
      </c>
      <c r="D22" s="163">
        <v>5250834</v>
      </c>
      <c r="E22" s="163">
        <v>615100</v>
      </c>
      <c r="F22" s="162" t="s">
        <v>343</v>
      </c>
      <c r="G22" s="162" t="s">
        <v>363</v>
      </c>
      <c r="H22" s="164">
        <v>0.5</v>
      </c>
      <c r="I22" s="165">
        <v>70000</v>
      </c>
      <c r="J22" s="164">
        <v>0.5</v>
      </c>
      <c r="K22" s="165">
        <v>70000</v>
      </c>
      <c r="L22" s="164">
        <v>0.5</v>
      </c>
      <c r="M22" s="165">
        <v>70000</v>
      </c>
    </row>
    <row r="23" spans="1:14" ht="14.25" customHeight="1" x14ac:dyDescent="0.2">
      <c r="A23" s="156">
        <v>1</v>
      </c>
      <c r="B23" s="162" t="s">
        <v>367</v>
      </c>
      <c r="C23" s="162" t="s">
        <v>368</v>
      </c>
      <c r="D23" s="163">
        <v>5594754</v>
      </c>
      <c r="E23" s="163">
        <v>615100</v>
      </c>
      <c r="F23" s="162" t="s">
        <v>343</v>
      </c>
      <c r="G23" s="162" t="s">
        <v>363</v>
      </c>
      <c r="H23" s="164">
        <v>0.5</v>
      </c>
      <c r="I23" s="165">
        <v>85000</v>
      </c>
      <c r="J23" s="164">
        <v>0.5</v>
      </c>
      <c r="K23" s="165">
        <v>85000</v>
      </c>
      <c r="L23" s="164">
        <v>0.5</v>
      </c>
      <c r="M23" s="165">
        <v>85000</v>
      </c>
    </row>
    <row r="24" spans="1:14" s="181" customFormat="1" ht="21" customHeight="1" x14ac:dyDescent="0.2">
      <c r="A24" s="166" t="s">
        <v>369</v>
      </c>
      <c r="B24" s="166"/>
      <c r="C24" s="179"/>
      <c r="D24" s="179"/>
      <c r="E24" s="180"/>
      <c r="F24" s="180"/>
      <c r="G24" s="179"/>
      <c r="H24" s="179">
        <f>SUM(H6:H23)</f>
        <v>8.4499999999999993</v>
      </c>
      <c r="I24" s="170">
        <f>SUM(I22:I23)</f>
        <v>155000</v>
      </c>
      <c r="J24" s="179">
        <f>SUM(J6:J23)</f>
        <v>8.4499999999999993</v>
      </c>
      <c r="K24" s="170">
        <f t="shared" ref="K24:M24" si="5">SUM(K22:K23)</f>
        <v>155000</v>
      </c>
      <c r="L24" s="179">
        <f>SUM(L6:L23)</f>
        <v>8.4499999999999993</v>
      </c>
      <c r="M24" s="170">
        <f t="shared" si="5"/>
        <v>155000</v>
      </c>
    </row>
    <row r="25" spans="1:14" ht="14.25" customHeight="1" x14ac:dyDescent="0.2">
      <c r="A25" s="156">
        <v>1</v>
      </c>
      <c r="B25" s="162" t="s">
        <v>370</v>
      </c>
      <c r="C25" s="162" t="s">
        <v>371</v>
      </c>
      <c r="D25" s="163">
        <v>3408301</v>
      </c>
      <c r="E25" s="163">
        <v>621000</v>
      </c>
      <c r="F25" s="162" t="s">
        <v>372</v>
      </c>
      <c r="G25" s="162" t="s">
        <v>373</v>
      </c>
      <c r="H25" s="164">
        <v>0.75</v>
      </c>
      <c r="I25" s="165">
        <v>388600</v>
      </c>
      <c r="J25" s="164">
        <v>0.75</v>
      </c>
      <c r="K25" s="165">
        <v>388600</v>
      </c>
      <c r="L25" s="164">
        <v>0.75</v>
      </c>
      <c r="M25" s="165">
        <v>388600</v>
      </c>
    </row>
    <row r="26" spans="1:14" ht="20.25" customHeight="1" x14ac:dyDescent="0.2">
      <c r="A26" s="166" t="s">
        <v>374</v>
      </c>
      <c r="B26" s="168"/>
      <c r="C26" s="168"/>
      <c r="D26" s="169"/>
      <c r="E26" s="169"/>
      <c r="F26" s="168"/>
      <c r="G26" s="168"/>
      <c r="H26" s="178"/>
      <c r="I26" s="170">
        <f>SUM(I25:I25)</f>
        <v>388600</v>
      </c>
      <c r="J26" s="178"/>
      <c r="K26" s="170">
        <f t="shared" ref="K26:M26" si="6">SUM(K25:K25)</f>
        <v>388600</v>
      </c>
      <c r="L26" s="178"/>
      <c r="M26" s="170">
        <f t="shared" si="6"/>
        <v>388600</v>
      </c>
    </row>
    <row r="27" spans="1:14" ht="14.25" customHeight="1" x14ac:dyDescent="0.2">
      <c r="A27" s="156">
        <v>1</v>
      </c>
      <c r="B27" s="162" t="s">
        <v>375</v>
      </c>
      <c r="C27" s="162" t="s">
        <v>376</v>
      </c>
      <c r="D27" s="163">
        <v>5517362</v>
      </c>
      <c r="E27" s="163">
        <v>621500</v>
      </c>
      <c r="F27" s="162" t="s">
        <v>114</v>
      </c>
      <c r="G27" s="162" t="s">
        <v>377</v>
      </c>
      <c r="H27" s="164">
        <v>1</v>
      </c>
      <c r="I27" s="165">
        <v>177000</v>
      </c>
      <c r="J27" s="164">
        <v>0</v>
      </c>
      <c r="K27" s="182">
        <v>0</v>
      </c>
      <c r="L27" s="164">
        <v>0</v>
      </c>
      <c r="M27" s="182">
        <v>0</v>
      </c>
      <c r="N27" s="157" t="s">
        <v>162</v>
      </c>
    </row>
    <row r="28" spans="1:14" ht="19.5" customHeight="1" x14ac:dyDescent="0.2">
      <c r="A28" s="183" t="s">
        <v>378</v>
      </c>
      <c r="B28" s="168"/>
      <c r="C28" s="168"/>
      <c r="D28" s="169"/>
      <c r="E28" s="169"/>
      <c r="F28" s="168"/>
      <c r="G28" s="168"/>
      <c r="H28" s="178"/>
      <c r="I28" s="170">
        <f>SUM(I27)</f>
        <v>177000</v>
      </c>
      <c r="J28" s="178"/>
      <c r="K28" s="170">
        <f t="shared" ref="K28:M28" si="7">SUM(K27)</f>
        <v>0</v>
      </c>
      <c r="L28" s="178"/>
      <c r="M28" s="170">
        <f t="shared" si="7"/>
        <v>0</v>
      </c>
    </row>
    <row r="29" spans="1:14" ht="14.25" customHeight="1" x14ac:dyDescent="0.2">
      <c r="A29" s="156">
        <v>1</v>
      </c>
      <c r="B29" s="162" t="s">
        <v>379</v>
      </c>
      <c r="C29" s="162" t="s">
        <v>380</v>
      </c>
      <c r="D29" s="163">
        <v>5125326</v>
      </c>
      <c r="E29" s="163">
        <v>623000</v>
      </c>
      <c r="F29" s="162" t="s">
        <v>381</v>
      </c>
      <c r="G29" s="162" t="s">
        <v>380</v>
      </c>
      <c r="H29" s="164">
        <v>1</v>
      </c>
      <c r="I29" s="165">
        <v>90000</v>
      </c>
      <c r="J29" s="164">
        <v>1</v>
      </c>
      <c r="K29" s="184">
        <v>90000</v>
      </c>
      <c r="L29" s="164">
        <v>1</v>
      </c>
      <c r="M29" s="184">
        <v>90000</v>
      </c>
    </row>
    <row r="30" spans="1:14" ht="14.25" customHeight="1" x14ac:dyDescent="0.2">
      <c r="A30" s="156">
        <v>1</v>
      </c>
      <c r="B30" s="162" t="s">
        <v>382</v>
      </c>
      <c r="C30" s="162" t="s">
        <v>383</v>
      </c>
      <c r="D30" s="163">
        <v>2332248</v>
      </c>
      <c r="E30" s="163">
        <v>623000</v>
      </c>
      <c r="F30" s="162" t="s">
        <v>380</v>
      </c>
      <c r="G30" s="162" t="s">
        <v>384</v>
      </c>
      <c r="H30" s="164">
        <v>1</v>
      </c>
      <c r="I30" s="165">
        <v>134000</v>
      </c>
      <c r="J30" s="164">
        <v>1</v>
      </c>
      <c r="K30" s="184">
        <v>134000</v>
      </c>
      <c r="L30" s="164">
        <v>1</v>
      </c>
      <c r="M30" s="184">
        <v>134000</v>
      </c>
    </row>
    <row r="31" spans="1:14" ht="14.25" customHeight="1" x14ac:dyDescent="0.2">
      <c r="A31" s="156">
        <v>1</v>
      </c>
      <c r="B31" s="162" t="s">
        <v>385</v>
      </c>
      <c r="C31" s="162" t="s">
        <v>386</v>
      </c>
      <c r="D31" s="163">
        <v>5854368</v>
      </c>
      <c r="E31" s="163">
        <v>623000</v>
      </c>
      <c r="F31" s="162" t="s">
        <v>380</v>
      </c>
      <c r="G31" s="162" t="s">
        <v>380</v>
      </c>
      <c r="H31" s="164">
        <v>1</v>
      </c>
      <c r="I31" s="165">
        <v>120000</v>
      </c>
      <c r="J31" s="164">
        <v>1</v>
      </c>
      <c r="K31" s="184">
        <v>120000</v>
      </c>
      <c r="L31" s="164">
        <v>1</v>
      </c>
      <c r="M31" s="184">
        <v>120000</v>
      </c>
    </row>
    <row r="32" spans="1:14" ht="14.25" customHeight="1" x14ac:dyDescent="0.2">
      <c r="A32" s="156">
        <v>1</v>
      </c>
      <c r="B32" s="173" t="s">
        <v>387</v>
      </c>
      <c r="C32" s="173" t="s">
        <v>388</v>
      </c>
      <c r="D32" s="175">
        <v>3443023</v>
      </c>
      <c r="E32" s="175">
        <v>623000</v>
      </c>
      <c r="F32" s="173" t="s">
        <v>380</v>
      </c>
      <c r="G32" s="173" t="s">
        <v>380</v>
      </c>
      <c r="H32" s="176">
        <v>1</v>
      </c>
      <c r="I32" s="177">
        <v>92188</v>
      </c>
      <c r="J32" s="176">
        <v>1</v>
      </c>
      <c r="K32" s="177">
        <v>92188</v>
      </c>
      <c r="L32" s="176">
        <v>1</v>
      </c>
      <c r="M32" s="165">
        <v>92188</v>
      </c>
    </row>
    <row r="33" spans="1:13" x14ac:dyDescent="0.2">
      <c r="A33" s="166" t="s">
        <v>389</v>
      </c>
      <c r="B33" s="168"/>
      <c r="C33" s="168"/>
      <c r="D33" s="169"/>
      <c r="E33" s="169"/>
      <c r="F33" s="168"/>
      <c r="G33" s="168"/>
      <c r="H33" s="185">
        <f>SUM(H25:H32)</f>
        <v>5.75</v>
      </c>
      <c r="I33" s="170">
        <f>SUM(I29:I32)</f>
        <v>436188</v>
      </c>
      <c r="J33" s="185">
        <f>SUM(J25:J32)</f>
        <v>4.75</v>
      </c>
      <c r="K33" s="170">
        <f t="shared" ref="K33:M33" si="8">SUM(K29:K32)</f>
        <v>436188</v>
      </c>
      <c r="L33" s="185">
        <f>SUM(L25:L32)</f>
        <v>4.75</v>
      </c>
      <c r="M33" s="170">
        <f t="shared" si="8"/>
        <v>436188</v>
      </c>
    </row>
    <row r="34" spans="1:13" x14ac:dyDescent="0.2">
      <c r="A34" s="156">
        <v>1</v>
      </c>
      <c r="B34" s="162" t="s">
        <v>390</v>
      </c>
      <c r="C34" s="162" t="s">
        <v>391</v>
      </c>
      <c r="D34" s="163">
        <v>5891124</v>
      </c>
      <c r="E34" s="163">
        <v>711100</v>
      </c>
      <c r="F34" s="162" t="s">
        <v>135</v>
      </c>
      <c r="G34" s="162" t="s">
        <v>392</v>
      </c>
      <c r="H34" s="164">
        <v>1</v>
      </c>
      <c r="I34" s="165">
        <v>120000</v>
      </c>
      <c r="J34" s="164">
        <v>1</v>
      </c>
      <c r="K34" s="165">
        <v>120000</v>
      </c>
      <c r="L34" s="164">
        <v>1</v>
      </c>
      <c r="M34" s="165">
        <v>120000</v>
      </c>
    </row>
    <row r="35" spans="1:13" x14ac:dyDescent="0.2">
      <c r="A35" s="166" t="s">
        <v>393</v>
      </c>
      <c r="B35" s="168"/>
      <c r="C35" s="168"/>
      <c r="D35" s="169"/>
      <c r="E35" s="169"/>
      <c r="F35" s="168"/>
      <c r="G35" s="168"/>
      <c r="H35" s="178"/>
      <c r="I35" s="170">
        <f>SUM(I34)</f>
        <v>120000</v>
      </c>
      <c r="J35" s="178"/>
      <c r="K35" s="170">
        <f t="shared" ref="K35:M35" si="9">SUM(K34)</f>
        <v>120000</v>
      </c>
      <c r="L35" s="178"/>
      <c r="M35" s="170">
        <f t="shared" si="9"/>
        <v>120000</v>
      </c>
    </row>
    <row r="36" spans="1:13" x14ac:dyDescent="0.2">
      <c r="A36" s="156">
        <v>1</v>
      </c>
      <c r="B36" s="162" t="s">
        <v>394</v>
      </c>
      <c r="C36" s="162" t="s">
        <v>346</v>
      </c>
      <c r="D36" s="163">
        <v>5763017</v>
      </c>
      <c r="E36" s="163">
        <v>712200</v>
      </c>
      <c r="F36" s="162" t="s">
        <v>135</v>
      </c>
      <c r="G36" s="162" t="s">
        <v>395</v>
      </c>
      <c r="H36" s="164">
        <v>1</v>
      </c>
      <c r="I36" s="165">
        <v>86000</v>
      </c>
      <c r="J36" s="164">
        <v>1</v>
      </c>
      <c r="K36" s="165">
        <v>86000</v>
      </c>
      <c r="L36" s="164">
        <v>1</v>
      </c>
      <c r="M36" s="165">
        <v>86000</v>
      </c>
    </row>
    <row r="37" spans="1:13" x14ac:dyDescent="0.2">
      <c r="A37" s="166" t="s">
        <v>396</v>
      </c>
      <c r="B37" s="168"/>
      <c r="C37" s="168"/>
      <c r="D37" s="169"/>
      <c r="E37" s="169"/>
      <c r="F37" s="168"/>
      <c r="G37" s="168"/>
      <c r="H37" s="185"/>
      <c r="I37" s="170">
        <f>SUM(I36)</f>
        <v>86000</v>
      </c>
      <c r="J37" s="185"/>
      <c r="K37" s="170">
        <f t="shared" ref="K37:M37" si="10">SUM(K36)</f>
        <v>86000</v>
      </c>
      <c r="L37" s="185"/>
      <c r="M37" s="170">
        <f t="shared" si="10"/>
        <v>86000</v>
      </c>
    </row>
    <row r="38" spans="1:13" x14ac:dyDescent="0.2">
      <c r="A38" s="186">
        <v>1</v>
      </c>
      <c r="B38" s="187" t="s">
        <v>365</v>
      </c>
      <c r="C38" s="187" t="s">
        <v>386</v>
      </c>
      <c r="D38" s="188">
        <v>5250845</v>
      </c>
      <c r="E38" s="188">
        <v>713000</v>
      </c>
      <c r="F38" s="187" t="s">
        <v>397</v>
      </c>
      <c r="G38" s="187" t="s">
        <v>398</v>
      </c>
      <c r="H38" s="189">
        <v>1</v>
      </c>
      <c r="I38" s="190">
        <v>120000</v>
      </c>
      <c r="J38" s="189">
        <v>1</v>
      </c>
      <c r="K38" s="190">
        <v>120000</v>
      </c>
      <c r="L38" s="189">
        <v>1</v>
      </c>
      <c r="M38" s="191">
        <v>0</v>
      </c>
    </row>
    <row r="39" spans="1:13" x14ac:dyDescent="0.2">
      <c r="A39" s="186">
        <v>1</v>
      </c>
      <c r="B39" s="192" t="s">
        <v>355</v>
      </c>
      <c r="C39" s="192" t="s">
        <v>399</v>
      </c>
      <c r="D39" s="193">
        <v>5575111</v>
      </c>
      <c r="E39" s="193">
        <v>713000</v>
      </c>
      <c r="F39" s="192" t="s">
        <v>397</v>
      </c>
      <c r="G39" s="192" t="s">
        <v>400</v>
      </c>
      <c r="H39" s="194">
        <v>1</v>
      </c>
      <c r="I39" s="191">
        <v>110000</v>
      </c>
      <c r="J39" s="194">
        <v>1</v>
      </c>
      <c r="K39" s="191">
        <v>110000</v>
      </c>
      <c r="L39" s="194">
        <v>1</v>
      </c>
      <c r="M39" s="191">
        <v>0</v>
      </c>
    </row>
    <row r="40" spans="1:13" x14ac:dyDescent="0.2">
      <c r="A40" s="195" t="s">
        <v>401</v>
      </c>
      <c r="B40" s="196"/>
      <c r="C40" s="196"/>
      <c r="D40" s="197"/>
      <c r="E40" s="197"/>
      <c r="F40" s="196"/>
      <c r="G40" s="196"/>
      <c r="H40" s="198"/>
      <c r="I40" s="199">
        <f>SUM(I38:I39)</f>
        <v>230000</v>
      </c>
      <c r="J40" s="198"/>
      <c r="K40" s="199">
        <f>SUM(K38:K39)</f>
        <v>230000</v>
      </c>
      <c r="L40" s="198"/>
      <c r="M40" s="199">
        <f>SUM(M38:M39)</f>
        <v>0</v>
      </c>
    </row>
    <row r="41" spans="1:13" ht="30" x14ac:dyDescent="0.2">
      <c r="A41" s="156"/>
      <c r="B41" s="162" t="s">
        <v>402</v>
      </c>
      <c r="C41" s="162" t="s">
        <v>403</v>
      </c>
      <c r="D41" s="163">
        <v>999999</v>
      </c>
      <c r="E41" s="163">
        <v>7133000</v>
      </c>
      <c r="F41" s="162" t="s">
        <v>404</v>
      </c>
      <c r="G41" s="162" t="s">
        <v>392</v>
      </c>
      <c r="H41" s="164">
        <v>0.5</v>
      </c>
      <c r="I41" s="165">
        <v>20000</v>
      </c>
      <c r="J41" s="164">
        <v>0.5</v>
      </c>
      <c r="K41" s="165">
        <v>60000</v>
      </c>
      <c r="L41" s="164">
        <v>0.5</v>
      </c>
      <c r="M41" s="165">
        <v>60000</v>
      </c>
    </row>
    <row r="42" spans="1:13" x14ac:dyDescent="0.2">
      <c r="A42" s="166" t="s">
        <v>405</v>
      </c>
      <c r="B42" s="168"/>
      <c r="C42" s="168"/>
      <c r="D42" s="169"/>
      <c r="E42" s="169"/>
      <c r="F42" s="168"/>
      <c r="G42" s="168"/>
      <c r="H42" s="178"/>
      <c r="I42" s="170">
        <f>SUM(I41)</f>
        <v>20000</v>
      </c>
      <c r="J42" s="178"/>
      <c r="K42" s="170">
        <f t="shared" ref="K42:M42" si="11">SUM(K41)</f>
        <v>60000</v>
      </c>
      <c r="L42" s="178"/>
      <c r="M42" s="170">
        <f t="shared" si="11"/>
        <v>60000</v>
      </c>
    </row>
    <row r="43" spans="1:13" x14ac:dyDescent="0.2">
      <c r="A43" s="156">
        <v>1</v>
      </c>
      <c r="B43" s="162" t="s">
        <v>406</v>
      </c>
      <c r="C43" s="162" t="s">
        <v>407</v>
      </c>
      <c r="D43" s="163">
        <v>5692116</v>
      </c>
      <c r="E43" s="163">
        <v>714100</v>
      </c>
      <c r="F43" s="162" t="s">
        <v>408</v>
      </c>
      <c r="G43" s="162" t="s">
        <v>409</v>
      </c>
      <c r="H43" s="164">
        <v>0.2</v>
      </c>
      <c r="I43" s="165">
        <v>80000</v>
      </c>
      <c r="J43" s="164">
        <v>0.2</v>
      </c>
      <c r="K43" s="165">
        <v>80000</v>
      </c>
      <c r="L43" s="164">
        <v>0.2</v>
      </c>
      <c r="M43" s="165" t="s">
        <v>410</v>
      </c>
    </row>
    <row r="44" spans="1:13" x14ac:dyDescent="0.2">
      <c r="A44" s="166" t="s">
        <v>411</v>
      </c>
      <c r="B44" s="168"/>
      <c r="C44" s="168"/>
      <c r="D44" s="169"/>
      <c r="E44" s="169"/>
      <c r="F44" s="168"/>
      <c r="G44" s="168"/>
      <c r="H44" s="185">
        <f>SUM(H34:H43)</f>
        <v>4.7</v>
      </c>
      <c r="I44" s="170">
        <f>SUM(I43)</f>
        <v>80000</v>
      </c>
      <c r="J44" s="185">
        <f>SUM(J34:J43)</f>
        <v>4.7</v>
      </c>
      <c r="K44" s="170">
        <f t="shared" ref="K44:M44" si="12">SUM(K43)</f>
        <v>80000</v>
      </c>
      <c r="L44" s="185">
        <f>SUM(L34:L43)</f>
        <v>4.7</v>
      </c>
      <c r="M44" s="170">
        <f t="shared" si="12"/>
        <v>0</v>
      </c>
    </row>
    <row r="45" spans="1:13" x14ac:dyDescent="0.2">
      <c r="A45" s="156">
        <v>1</v>
      </c>
      <c r="B45" s="162" t="s">
        <v>412</v>
      </c>
      <c r="C45" s="162" t="s">
        <v>413</v>
      </c>
      <c r="D45" s="163">
        <v>52434370</v>
      </c>
      <c r="E45" s="163">
        <v>731000</v>
      </c>
      <c r="F45" s="162" t="s">
        <v>414</v>
      </c>
      <c r="G45" s="162" t="s">
        <v>415</v>
      </c>
      <c r="H45" s="164">
        <v>1</v>
      </c>
      <c r="I45" s="165">
        <v>400000</v>
      </c>
      <c r="J45" s="164">
        <v>1</v>
      </c>
      <c r="K45" s="165">
        <v>400000</v>
      </c>
      <c r="L45" s="164">
        <v>1</v>
      </c>
      <c r="M45" s="165">
        <v>400000</v>
      </c>
    </row>
    <row r="46" spans="1:13" x14ac:dyDescent="0.2">
      <c r="A46" s="156">
        <v>1</v>
      </c>
      <c r="B46" s="162" t="s">
        <v>416</v>
      </c>
      <c r="C46" s="162" t="s">
        <v>324</v>
      </c>
      <c r="D46" s="163">
        <v>2910410</v>
      </c>
      <c r="E46" s="163">
        <v>731000</v>
      </c>
      <c r="F46" s="162" t="s">
        <v>414</v>
      </c>
      <c r="G46" s="162" t="s">
        <v>326</v>
      </c>
      <c r="H46" s="164">
        <v>1</v>
      </c>
      <c r="I46" s="165">
        <v>105000</v>
      </c>
      <c r="J46" s="164">
        <v>1</v>
      </c>
      <c r="K46" s="165">
        <v>105000</v>
      </c>
      <c r="L46" s="164">
        <v>1</v>
      </c>
      <c r="M46" s="165">
        <v>105000</v>
      </c>
    </row>
    <row r="47" spans="1:13" x14ac:dyDescent="0.2">
      <c r="A47" s="156">
        <v>1</v>
      </c>
      <c r="B47" s="162" t="s">
        <v>341</v>
      </c>
      <c r="C47" s="162" t="s">
        <v>417</v>
      </c>
      <c r="D47" s="163">
        <v>2346198</v>
      </c>
      <c r="E47" s="163">
        <v>731000</v>
      </c>
      <c r="F47" s="162" t="s">
        <v>414</v>
      </c>
      <c r="G47" s="162" t="s">
        <v>418</v>
      </c>
      <c r="H47" s="164" t="s">
        <v>419</v>
      </c>
      <c r="I47" s="165">
        <v>80000</v>
      </c>
      <c r="J47" s="164" t="s">
        <v>419</v>
      </c>
      <c r="K47" s="165">
        <v>80000</v>
      </c>
      <c r="L47" s="164" t="s">
        <v>419</v>
      </c>
      <c r="M47" s="165">
        <v>80000</v>
      </c>
    </row>
    <row r="48" spans="1:13" x14ac:dyDescent="0.2">
      <c r="A48" s="166" t="s">
        <v>420</v>
      </c>
      <c r="B48" s="168"/>
      <c r="C48" s="168"/>
      <c r="D48" s="169"/>
      <c r="E48" s="169"/>
      <c r="F48" s="168"/>
      <c r="G48" s="168"/>
      <c r="H48" s="185">
        <f>SUM(H45:H47)</f>
        <v>2</v>
      </c>
      <c r="I48" s="170">
        <f>SUM(I45:I47)</f>
        <v>585000</v>
      </c>
      <c r="J48" s="185">
        <f>SUM(J45:J47)</f>
        <v>2</v>
      </c>
      <c r="K48" s="170">
        <f t="shared" ref="K48:M48" si="13">SUM(K45:K47)</f>
        <v>585000</v>
      </c>
      <c r="L48" s="185">
        <f>SUM(L45:L47)</f>
        <v>2</v>
      </c>
      <c r="M48" s="170">
        <f t="shared" si="13"/>
        <v>585000</v>
      </c>
    </row>
    <row r="49" spans="1:13" x14ac:dyDescent="0.2">
      <c r="A49" s="156">
        <v>1</v>
      </c>
      <c r="B49" s="162" t="s">
        <v>318</v>
      </c>
      <c r="C49" s="162" t="s">
        <v>421</v>
      </c>
      <c r="D49" s="163">
        <v>27674282</v>
      </c>
      <c r="E49" s="163">
        <v>742200</v>
      </c>
      <c r="F49" s="162" t="s">
        <v>422</v>
      </c>
      <c r="G49" s="162" t="s">
        <v>423</v>
      </c>
      <c r="H49" s="176">
        <v>1</v>
      </c>
      <c r="I49" s="177">
        <v>50000</v>
      </c>
      <c r="J49" s="176">
        <v>1</v>
      </c>
      <c r="K49" s="177">
        <v>50000</v>
      </c>
      <c r="L49" s="176">
        <v>1</v>
      </c>
      <c r="M49" s="165">
        <v>50000</v>
      </c>
    </row>
    <row r="50" spans="1:13" x14ac:dyDescent="0.2">
      <c r="A50" s="156">
        <v>1</v>
      </c>
      <c r="B50" s="162" t="s">
        <v>318</v>
      </c>
      <c r="C50" s="162" t="s">
        <v>424</v>
      </c>
      <c r="D50" s="163">
        <v>2827909</v>
      </c>
      <c r="E50" s="163">
        <v>742200</v>
      </c>
      <c r="F50" s="162" t="s">
        <v>422</v>
      </c>
      <c r="G50" s="162" t="s">
        <v>423</v>
      </c>
      <c r="H50" s="164">
        <v>1</v>
      </c>
      <c r="I50" s="165">
        <v>180000</v>
      </c>
      <c r="J50" s="164">
        <v>1</v>
      </c>
      <c r="K50" s="165">
        <v>180000</v>
      </c>
      <c r="L50" s="164">
        <v>1</v>
      </c>
      <c r="M50" s="165">
        <v>180000</v>
      </c>
    </row>
    <row r="51" spans="1:13" x14ac:dyDescent="0.2">
      <c r="A51" s="156">
        <v>1</v>
      </c>
      <c r="B51" s="162" t="s">
        <v>385</v>
      </c>
      <c r="C51" s="162" t="s">
        <v>425</v>
      </c>
      <c r="D51" s="163">
        <v>3117319</v>
      </c>
      <c r="E51" s="163">
        <v>742200</v>
      </c>
      <c r="F51" s="162" t="s">
        <v>422</v>
      </c>
      <c r="G51" s="162" t="s">
        <v>423</v>
      </c>
      <c r="H51" s="164">
        <v>1</v>
      </c>
      <c r="I51" s="165">
        <v>124000</v>
      </c>
      <c r="J51" s="164">
        <v>1</v>
      </c>
      <c r="K51" s="165">
        <v>124000</v>
      </c>
      <c r="L51" s="164">
        <v>1</v>
      </c>
      <c r="M51" s="165">
        <v>124000</v>
      </c>
    </row>
    <row r="52" spans="1:13" x14ac:dyDescent="0.2">
      <c r="A52" s="156">
        <v>1</v>
      </c>
      <c r="B52" s="173" t="s">
        <v>385</v>
      </c>
      <c r="C52" s="173" t="s">
        <v>426</v>
      </c>
      <c r="D52" s="175">
        <v>4624553</v>
      </c>
      <c r="E52" s="175">
        <v>742200</v>
      </c>
      <c r="F52" s="173" t="s">
        <v>422</v>
      </c>
      <c r="G52" s="173" t="s">
        <v>427</v>
      </c>
      <c r="H52" s="176">
        <v>1</v>
      </c>
      <c r="I52" s="177">
        <v>90000</v>
      </c>
      <c r="J52" s="176">
        <v>1</v>
      </c>
      <c r="K52" s="177">
        <v>90000</v>
      </c>
      <c r="L52" s="176">
        <v>1</v>
      </c>
      <c r="M52" s="165">
        <v>90000</v>
      </c>
    </row>
    <row r="53" spans="1:13" x14ac:dyDescent="0.2">
      <c r="A53" s="156">
        <v>1</v>
      </c>
      <c r="B53" s="162" t="s">
        <v>428</v>
      </c>
      <c r="C53" s="162" t="s">
        <v>429</v>
      </c>
      <c r="D53" s="163">
        <v>5938504</v>
      </c>
      <c r="E53" s="163">
        <v>742200</v>
      </c>
      <c r="F53" s="162" t="s">
        <v>422</v>
      </c>
      <c r="G53" s="162" t="s">
        <v>423</v>
      </c>
      <c r="H53" s="164">
        <v>1</v>
      </c>
      <c r="I53" s="165">
        <v>130000</v>
      </c>
      <c r="J53" s="164">
        <v>1</v>
      </c>
      <c r="K53" s="165">
        <v>130000</v>
      </c>
      <c r="L53" s="164">
        <v>1</v>
      </c>
      <c r="M53" s="165">
        <v>130000</v>
      </c>
    </row>
    <row r="54" spans="1:13" x14ac:dyDescent="0.2">
      <c r="A54" s="156">
        <v>1</v>
      </c>
      <c r="B54" s="162" t="s">
        <v>345</v>
      </c>
      <c r="C54" s="162" t="s">
        <v>430</v>
      </c>
      <c r="D54" s="163">
        <v>5575149</v>
      </c>
      <c r="E54" s="163">
        <v>742200</v>
      </c>
      <c r="F54" s="162" t="s">
        <v>422</v>
      </c>
      <c r="G54" s="162" t="s">
        <v>431</v>
      </c>
      <c r="H54" s="164">
        <v>1</v>
      </c>
      <c r="I54" s="165">
        <v>100000</v>
      </c>
      <c r="J54" s="164">
        <v>1</v>
      </c>
      <c r="K54" s="165">
        <v>100000</v>
      </c>
      <c r="L54" s="164">
        <v>1</v>
      </c>
      <c r="M54" s="165">
        <v>100000</v>
      </c>
    </row>
    <row r="55" spans="1:13" x14ac:dyDescent="0.2">
      <c r="A55" s="156">
        <v>1</v>
      </c>
      <c r="B55" s="162" t="s">
        <v>385</v>
      </c>
      <c r="C55" s="162" t="s">
        <v>432</v>
      </c>
      <c r="D55" s="163">
        <v>2646223</v>
      </c>
      <c r="E55" s="163">
        <v>742200</v>
      </c>
      <c r="F55" s="162" t="s">
        <v>422</v>
      </c>
      <c r="G55" s="162" t="s">
        <v>433</v>
      </c>
      <c r="H55" s="164">
        <v>1</v>
      </c>
      <c r="I55" s="165">
        <v>130000</v>
      </c>
      <c r="J55" s="164">
        <v>1</v>
      </c>
      <c r="K55" s="165">
        <v>130000</v>
      </c>
      <c r="L55" s="164">
        <v>1</v>
      </c>
      <c r="M55" s="165">
        <v>130000</v>
      </c>
    </row>
    <row r="56" spans="1:13" x14ac:dyDescent="0.2">
      <c r="A56" s="166" t="s">
        <v>434</v>
      </c>
      <c r="B56" s="168"/>
      <c r="C56" s="168"/>
      <c r="D56" s="169"/>
      <c r="E56" s="169"/>
      <c r="F56" s="168"/>
      <c r="G56" s="168"/>
      <c r="H56" s="185">
        <f>SUM(H49:H55)</f>
        <v>7</v>
      </c>
      <c r="I56" s="170">
        <f>SUM(I49:I55)</f>
        <v>804000</v>
      </c>
      <c r="J56" s="185">
        <f>SUM(J49:J55)</f>
        <v>7</v>
      </c>
      <c r="K56" s="170">
        <f t="shared" ref="K56:M56" si="14">SUM(K49:K55)</f>
        <v>804000</v>
      </c>
      <c r="L56" s="185">
        <f>SUM(L49:L55)</f>
        <v>7</v>
      </c>
      <c r="M56" s="170">
        <f t="shared" si="14"/>
        <v>804000</v>
      </c>
    </row>
    <row r="57" spans="1:13" x14ac:dyDescent="0.2">
      <c r="A57" s="156">
        <v>1</v>
      </c>
      <c r="B57" s="162" t="s">
        <v>385</v>
      </c>
      <c r="C57" s="162" t="s">
        <v>435</v>
      </c>
      <c r="D57" s="163">
        <v>59930693</v>
      </c>
      <c r="E57" s="163">
        <v>823000</v>
      </c>
      <c r="F57" s="162" t="s">
        <v>436</v>
      </c>
      <c r="G57" s="162" t="s">
        <v>437</v>
      </c>
      <c r="H57" s="164">
        <v>0.75</v>
      </c>
      <c r="I57" s="165">
        <v>80000</v>
      </c>
      <c r="J57" s="164">
        <v>0.75</v>
      </c>
      <c r="K57" s="165">
        <v>80000</v>
      </c>
      <c r="L57" s="164">
        <v>0.75</v>
      </c>
      <c r="M57" s="165">
        <v>80000</v>
      </c>
    </row>
    <row r="58" spans="1:13" x14ac:dyDescent="0.2">
      <c r="A58" s="166" t="s">
        <v>438</v>
      </c>
      <c r="B58" s="168"/>
      <c r="C58" s="168"/>
      <c r="D58" s="169"/>
      <c r="E58" s="169"/>
      <c r="F58" s="168"/>
      <c r="G58" s="168"/>
      <c r="H58" s="178"/>
      <c r="I58" s="170">
        <f>SUM(I57:I57)</f>
        <v>80000</v>
      </c>
      <c r="J58" s="178"/>
      <c r="K58" s="170">
        <f t="shared" ref="K58:M58" si="15">SUM(K57:K57)</f>
        <v>80000</v>
      </c>
      <c r="L58" s="178"/>
      <c r="M58" s="170">
        <f t="shared" si="15"/>
        <v>80000</v>
      </c>
    </row>
    <row r="59" spans="1:13" x14ac:dyDescent="0.2">
      <c r="A59" s="183"/>
      <c r="B59" s="162" t="s">
        <v>439</v>
      </c>
      <c r="C59" s="162" t="s">
        <v>403</v>
      </c>
      <c r="D59" s="163">
        <v>999999</v>
      </c>
      <c r="E59" s="163">
        <v>824000</v>
      </c>
      <c r="F59" s="162" t="s">
        <v>440</v>
      </c>
      <c r="G59" s="162" t="s">
        <v>379</v>
      </c>
      <c r="H59" s="164">
        <v>0.5</v>
      </c>
      <c r="I59" s="165">
        <v>30000</v>
      </c>
      <c r="J59" s="164">
        <v>0.5</v>
      </c>
      <c r="K59" s="165">
        <v>60000</v>
      </c>
      <c r="L59" s="164">
        <v>0.5</v>
      </c>
      <c r="M59" s="165">
        <v>60000</v>
      </c>
    </row>
    <row r="60" spans="1:13" x14ac:dyDescent="0.2">
      <c r="A60" s="156">
        <v>1</v>
      </c>
      <c r="B60" s="162" t="s">
        <v>318</v>
      </c>
      <c r="C60" s="162" t="s">
        <v>441</v>
      </c>
      <c r="D60" s="163">
        <v>2625132</v>
      </c>
      <c r="E60" s="163">
        <v>824000</v>
      </c>
      <c r="F60" s="162" t="s">
        <v>442</v>
      </c>
      <c r="G60" s="162" t="s">
        <v>363</v>
      </c>
      <c r="H60" s="164">
        <v>0.6</v>
      </c>
      <c r="I60" s="165">
        <v>80000</v>
      </c>
      <c r="J60" s="164">
        <v>0.6</v>
      </c>
      <c r="K60" s="165">
        <v>80000</v>
      </c>
      <c r="L60" s="164">
        <v>0.6</v>
      </c>
      <c r="M60" s="165">
        <v>80000</v>
      </c>
    </row>
    <row r="61" spans="1:13" x14ac:dyDescent="0.2">
      <c r="A61" s="156">
        <v>1</v>
      </c>
      <c r="B61" s="162" t="s">
        <v>390</v>
      </c>
      <c r="C61" s="162" t="s">
        <v>443</v>
      </c>
      <c r="D61" s="163">
        <v>2750789</v>
      </c>
      <c r="E61" s="163">
        <v>824000</v>
      </c>
      <c r="F61" s="162" t="s">
        <v>442</v>
      </c>
      <c r="G61" s="162" t="s">
        <v>326</v>
      </c>
      <c r="H61" s="164">
        <v>0.5</v>
      </c>
      <c r="I61" s="165">
        <v>55000</v>
      </c>
      <c r="J61" s="164">
        <v>0.5</v>
      </c>
      <c r="K61" s="165">
        <v>55000</v>
      </c>
      <c r="L61" s="164">
        <v>0.5</v>
      </c>
      <c r="M61" s="165">
        <v>55000</v>
      </c>
    </row>
    <row r="62" spans="1:13" x14ac:dyDescent="0.2">
      <c r="A62" s="166" t="s">
        <v>444</v>
      </c>
      <c r="B62" s="168"/>
      <c r="C62" s="168"/>
      <c r="D62" s="169"/>
      <c r="E62" s="169"/>
      <c r="F62" s="168"/>
      <c r="G62" s="168"/>
      <c r="H62" s="178"/>
      <c r="I62" s="170">
        <f>SUM(I59:I61)</f>
        <v>165000</v>
      </c>
      <c r="J62" s="178"/>
      <c r="K62" s="170">
        <f t="shared" ref="K62:M62" si="16">SUM(K59:K61)</f>
        <v>195000</v>
      </c>
      <c r="L62" s="178"/>
      <c r="M62" s="170">
        <f t="shared" si="16"/>
        <v>195000</v>
      </c>
    </row>
    <row r="63" spans="1:13" x14ac:dyDescent="0.2">
      <c r="A63" s="156">
        <v>1</v>
      </c>
      <c r="B63" s="162" t="s">
        <v>445</v>
      </c>
      <c r="C63" s="162" t="s">
        <v>446</v>
      </c>
      <c r="D63" s="163">
        <v>5763010</v>
      </c>
      <c r="E63" s="163">
        <v>825000</v>
      </c>
      <c r="F63" s="162" t="s">
        <v>447</v>
      </c>
      <c r="G63" s="162" t="s">
        <v>363</v>
      </c>
      <c r="H63" s="164">
        <v>0.6</v>
      </c>
      <c r="I63" s="165">
        <v>60000</v>
      </c>
      <c r="J63" s="164">
        <v>0.6</v>
      </c>
      <c r="K63" s="165">
        <v>60000</v>
      </c>
      <c r="L63" s="164">
        <v>0.6</v>
      </c>
      <c r="M63" s="165">
        <v>60000</v>
      </c>
    </row>
    <row r="64" spans="1:13" x14ac:dyDescent="0.2">
      <c r="A64" s="166" t="s">
        <v>448</v>
      </c>
      <c r="B64" s="168"/>
      <c r="C64" s="168"/>
      <c r="D64" s="169"/>
      <c r="E64" s="169"/>
      <c r="F64" s="168"/>
      <c r="G64" s="168"/>
      <c r="H64" s="178"/>
      <c r="I64" s="170">
        <f>SUM(I63)</f>
        <v>60000</v>
      </c>
      <c r="J64" s="178"/>
      <c r="K64" s="170">
        <f t="shared" ref="K64:M64" si="17">SUM(K63)</f>
        <v>60000</v>
      </c>
      <c r="L64" s="178"/>
      <c r="M64" s="170">
        <f t="shared" si="17"/>
        <v>60000</v>
      </c>
    </row>
    <row r="65" spans="1:14" ht="14.25" customHeight="1" x14ac:dyDescent="0.2">
      <c r="A65" s="156">
        <v>1</v>
      </c>
      <c r="B65" s="162" t="s">
        <v>367</v>
      </c>
      <c r="C65" s="162" t="s">
        <v>449</v>
      </c>
      <c r="D65" s="163">
        <v>20128293</v>
      </c>
      <c r="E65" s="163">
        <v>828100</v>
      </c>
      <c r="F65" s="162" t="s">
        <v>450</v>
      </c>
      <c r="G65" s="162" t="s">
        <v>450</v>
      </c>
      <c r="H65" s="164" t="s">
        <v>347</v>
      </c>
      <c r="I65" s="165">
        <v>40000</v>
      </c>
      <c r="J65" s="164" t="s">
        <v>347</v>
      </c>
      <c r="K65" s="165">
        <v>40000</v>
      </c>
      <c r="L65" s="164" t="s">
        <v>347</v>
      </c>
      <c r="M65" s="165">
        <v>40000</v>
      </c>
    </row>
    <row r="66" spans="1:14" ht="14.25" customHeight="1" x14ac:dyDescent="0.2">
      <c r="A66" s="156">
        <v>1</v>
      </c>
      <c r="B66" s="162" t="s">
        <v>451</v>
      </c>
      <c r="C66" s="162" t="s">
        <v>356</v>
      </c>
      <c r="D66" s="163">
        <v>9999999</v>
      </c>
      <c r="E66" s="163">
        <v>828100</v>
      </c>
      <c r="F66" s="162" t="s">
        <v>450</v>
      </c>
      <c r="G66" s="162" t="s">
        <v>450</v>
      </c>
      <c r="H66" s="164">
        <v>1</v>
      </c>
      <c r="I66" s="165">
        <v>70000</v>
      </c>
      <c r="J66" s="164">
        <v>1</v>
      </c>
      <c r="K66" s="165">
        <v>70000</v>
      </c>
      <c r="L66" s="164">
        <v>1</v>
      </c>
      <c r="M66" s="165">
        <v>70000</v>
      </c>
    </row>
    <row r="67" spans="1:14" ht="14.25" customHeight="1" x14ac:dyDescent="0.2">
      <c r="A67" s="156">
        <v>1</v>
      </c>
      <c r="B67" s="162" t="s">
        <v>341</v>
      </c>
      <c r="C67" s="162" t="s">
        <v>452</v>
      </c>
      <c r="D67" s="163">
        <v>5944923</v>
      </c>
      <c r="E67" s="163">
        <v>828100</v>
      </c>
      <c r="F67" s="162" t="s">
        <v>450</v>
      </c>
      <c r="G67" s="162" t="s">
        <v>453</v>
      </c>
      <c r="H67" s="164">
        <v>1</v>
      </c>
      <c r="I67" s="165">
        <v>130000</v>
      </c>
      <c r="J67" s="164">
        <v>1</v>
      </c>
      <c r="K67" s="165">
        <v>130000</v>
      </c>
      <c r="L67" s="164">
        <v>1</v>
      </c>
      <c r="M67" s="165">
        <v>130000</v>
      </c>
    </row>
    <row r="68" spans="1:14" ht="14.25" customHeight="1" x14ac:dyDescent="0.2">
      <c r="A68" s="156">
        <v>1</v>
      </c>
      <c r="B68" s="162" t="s">
        <v>454</v>
      </c>
      <c r="C68" s="162" t="s">
        <v>455</v>
      </c>
      <c r="D68" s="163">
        <v>30295792</v>
      </c>
      <c r="E68" s="163">
        <v>828100</v>
      </c>
      <c r="F68" s="162" t="s">
        <v>450</v>
      </c>
      <c r="G68" s="162" t="s">
        <v>456</v>
      </c>
      <c r="H68" s="164">
        <v>0.25</v>
      </c>
      <c r="I68" s="165">
        <v>42000</v>
      </c>
      <c r="J68" s="164">
        <v>0.25</v>
      </c>
      <c r="K68" s="165">
        <v>42000</v>
      </c>
      <c r="L68" s="164">
        <v>0.25</v>
      </c>
      <c r="M68" s="165">
        <v>42000</v>
      </c>
    </row>
    <row r="69" spans="1:14" ht="22.5" customHeight="1" x14ac:dyDescent="0.2">
      <c r="A69" s="166" t="s">
        <v>457</v>
      </c>
      <c r="B69" s="168"/>
      <c r="C69" s="168"/>
      <c r="D69" s="169"/>
      <c r="E69" s="169"/>
      <c r="F69" s="168"/>
      <c r="G69" s="168"/>
      <c r="H69" s="178"/>
      <c r="I69" s="170">
        <f>SUM(I65:I68)</f>
        <v>282000</v>
      </c>
      <c r="J69" s="178"/>
      <c r="K69" s="170">
        <f t="shared" ref="K69:M69" si="18">SUM(K65:K68)</f>
        <v>282000</v>
      </c>
      <c r="L69" s="178"/>
      <c r="M69" s="170">
        <f t="shared" si="18"/>
        <v>282000</v>
      </c>
    </row>
    <row r="70" spans="1:14" ht="14.25" customHeight="1" x14ac:dyDescent="0.2">
      <c r="A70" s="156">
        <v>1</v>
      </c>
      <c r="B70" s="162" t="s">
        <v>458</v>
      </c>
      <c r="C70" s="162" t="s">
        <v>459</v>
      </c>
      <c r="D70" s="163">
        <v>5079682</v>
      </c>
      <c r="E70" s="163">
        <v>829000</v>
      </c>
      <c r="F70" s="162" t="s">
        <v>460</v>
      </c>
      <c r="G70" s="162" t="s">
        <v>461</v>
      </c>
      <c r="H70" s="164">
        <v>1</v>
      </c>
      <c r="I70" s="165">
        <v>110000</v>
      </c>
      <c r="J70" s="164">
        <v>1</v>
      </c>
      <c r="K70" s="165">
        <v>110000</v>
      </c>
      <c r="L70" s="164">
        <v>1</v>
      </c>
      <c r="M70" s="165">
        <v>110000</v>
      </c>
    </row>
    <row r="71" spans="1:14" ht="14.25" customHeight="1" x14ac:dyDescent="0.2">
      <c r="A71" s="156">
        <v>1</v>
      </c>
      <c r="B71" s="162" t="s">
        <v>462</v>
      </c>
      <c r="C71" s="162" t="s">
        <v>463</v>
      </c>
      <c r="D71" s="163">
        <v>5934878</v>
      </c>
      <c r="E71" s="163">
        <v>829000</v>
      </c>
      <c r="F71" s="162" t="s">
        <v>460</v>
      </c>
      <c r="G71" s="162" t="s">
        <v>464</v>
      </c>
      <c r="H71" s="164">
        <v>1</v>
      </c>
      <c r="I71" s="165">
        <v>108000</v>
      </c>
      <c r="J71" s="164">
        <v>1</v>
      </c>
      <c r="K71" s="165">
        <v>108000</v>
      </c>
      <c r="L71" s="164">
        <v>1</v>
      </c>
      <c r="M71" s="165">
        <v>108000</v>
      </c>
    </row>
    <row r="72" spans="1:14" ht="14.25" customHeight="1" x14ac:dyDescent="0.2">
      <c r="A72" s="156">
        <v>1</v>
      </c>
      <c r="B72" s="200" t="s">
        <v>465</v>
      </c>
      <c r="C72" s="200" t="s">
        <v>466</v>
      </c>
      <c r="D72" s="201">
        <v>2086314</v>
      </c>
      <c r="E72" s="201">
        <v>829000</v>
      </c>
      <c r="F72" s="200" t="s">
        <v>460</v>
      </c>
      <c r="G72" s="200" t="s">
        <v>433</v>
      </c>
      <c r="H72" s="202">
        <v>1</v>
      </c>
      <c r="I72" s="203">
        <v>93000</v>
      </c>
      <c r="J72" s="202">
        <v>1</v>
      </c>
      <c r="K72" s="203">
        <v>56850</v>
      </c>
      <c r="L72" s="202">
        <v>0</v>
      </c>
      <c r="M72" s="203">
        <v>0</v>
      </c>
      <c r="N72" s="157" t="s">
        <v>467</v>
      </c>
    </row>
    <row r="73" spans="1:14" ht="14.25" customHeight="1" x14ac:dyDescent="0.2">
      <c r="A73" s="156">
        <v>1</v>
      </c>
      <c r="B73" s="162" t="s">
        <v>468</v>
      </c>
      <c r="C73" s="162" t="s">
        <v>469</v>
      </c>
      <c r="D73" s="163">
        <v>5891062</v>
      </c>
      <c r="E73" s="163">
        <v>829000</v>
      </c>
      <c r="F73" s="162" t="s">
        <v>460</v>
      </c>
      <c r="G73" s="162" t="s">
        <v>470</v>
      </c>
      <c r="H73" s="164">
        <v>0.6</v>
      </c>
      <c r="I73" s="165">
        <v>48000</v>
      </c>
      <c r="J73" s="164">
        <v>0.6</v>
      </c>
      <c r="K73" s="165">
        <v>48000</v>
      </c>
      <c r="L73" s="164">
        <v>0.6</v>
      </c>
      <c r="M73" s="165">
        <v>48000</v>
      </c>
    </row>
    <row r="74" spans="1:14" ht="20.25" customHeight="1" x14ac:dyDescent="0.2">
      <c r="A74" s="166" t="s">
        <v>471</v>
      </c>
      <c r="B74" s="168"/>
      <c r="C74" s="168"/>
      <c r="D74" s="169"/>
      <c r="E74" s="169"/>
      <c r="F74" s="168"/>
      <c r="G74" s="168"/>
      <c r="H74" s="185">
        <f>SUM(H57:H73)</f>
        <v>8.7999999999999989</v>
      </c>
      <c r="I74" s="170">
        <f>SUM(I70:I73)</f>
        <v>359000</v>
      </c>
      <c r="J74" s="185">
        <f>SUM(J57:J73)</f>
        <v>8.7999999999999989</v>
      </c>
      <c r="K74" s="170">
        <f t="shared" ref="K74:M74" si="19">SUM(K70:K73)</f>
        <v>322850</v>
      </c>
      <c r="L74" s="185">
        <f>SUM(L57:L73)</f>
        <v>7.8</v>
      </c>
      <c r="M74" s="170">
        <f t="shared" si="19"/>
        <v>266000</v>
      </c>
    </row>
    <row r="75" spans="1:14" ht="14.25" customHeight="1" x14ac:dyDescent="0.2">
      <c r="A75" s="156">
        <v>1</v>
      </c>
      <c r="B75" s="162" t="s">
        <v>462</v>
      </c>
      <c r="C75" s="162" t="s">
        <v>472</v>
      </c>
      <c r="D75" s="163">
        <v>5387559</v>
      </c>
      <c r="E75" s="163">
        <v>832400</v>
      </c>
      <c r="F75" s="162" t="s">
        <v>473</v>
      </c>
      <c r="G75" s="162" t="s">
        <v>474</v>
      </c>
      <c r="H75" s="164">
        <v>0.6</v>
      </c>
      <c r="I75" s="165">
        <v>60000</v>
      </c>
      <c r="J75" s="164">
        <v>0.6</v>
      </c>
      <c r="K75" s="165">
        <v>60000</v>
      </c>
      <c r="L75" s="164">
        <v>0.6</v>
      </c>
      <c r="M75" s="165">
        <v>60000</v>
      </c>
    </row>
    <row r="76" spans="1:14" ht="19.5" customHeight="1" x14ac:dyDescent="0.2">
      <c r="A76" s="166" t="s">
        <v>475</v>
      </c>
      <c r="B76" s="168"/>
      <c r="C76" s="168"/>
      <c r="D76" s="169"/>
      <c r="E76" s="169"/>
      <c r="F76" s="168"/>
      <c r="G76" s="168"/>
      <c r="H76" s="178">
        <f>SUM(H75)</f>
        <v>0.6</v>
      </c>
      <c r="I76" s="170">
        <f>SUM(I75:I75)</f>
        <v>60000</v>
      </c>
      <c r="J76" s="178">
        <f>SUM(J75)</f>
        <v>0.6</v>
      </c>
      <c r="K76" s="170">
        <f>SUM(K75:K75)</f>
        <v>60000</v>
      </c>
      <c r="L76" s="178">
        <f>SUM(L75)</f>
        <v>0.6</v>
      </c>
      <c r="M76" s="170">
        <f>SUM(M75:M75)</f>
        <v>60000</v>
      </c>
    </row>
    <row r="77" spans="1:14" ht="14.25" customHeight="1" x14ac:dyDescent="0.2">
      <c r="A77" s="156">
        <v>1</v>
      </c>
      <c r="B77" s="162" t="s">
        <v>385</v>
      </c>
      <c r="C77" s="162" t="s">
        <v>476</v>
      </c>
      <c r="D77" s="163">
        <v>5987092</v>
      </c>
      <c r="E77" s="163">
        <v>913000</v>
      </c>
      <c r="F77" s="162" t="s">
        <v>477</v>
      </c>
      <c r="G77" s="162" t="s">
        <v>478</v>
      </c>
      <c r="H77" s="164">
        <v>1</v>
      </c>
      <c r="I77" s="165">
        <v>125000</v>
      </c>
      <c r="J77" s="164">
        <v>0</v>
      </c>
      <c r="K77" s="165">
        <v>0</v>
      </c>
      <c r="L77" s="164">
        <v>0</v>
      </c>
      <c r="M77" s="165">
        <v>0</v>
      </c>
    </row>
    <row r="78" spans="1:14" ht="14.25" customHeight="1" x14ac:dyDescent="0.2">
      <c r="A78" s="156">
        <v>1</v>
      </c>
      <c r="B78" s="162" t="s">
        <v>479</v>
      </c>
      <c r="C78" s="162" t="s">
        <v>480</v>
      </c>
      <c r="D78" s="163">
        <v>5625702</v>
      </c>
      <c r="E78" s="163">
        <v>913000</v>
      </c>
      <c r="F78" s="162" t="s">
        <v>477</v>
      </c>
      <c r="G78" s="162" t="s">
        <v>478</v>
      </c>
      <c r="H78" s="164">
        <v>1</v>
      </c>
      <c r="I78" s="165">
        <v>208000</v>
      </c>
      <c r="J78" s="164">
        <v>0</v>
      </c>
      <c r="K78" s="165">
        <v>0</v>
      </c>
      <c r="L78" s="164">
        <v>0</v>
      </c>
      <c r="M78" s="165">
        <v>0</v>
      </c>
    </row>
    <row r="79" spans="1:14" ht="14.25" customHeight="1" x14ac:dyDescent="0.2">
      <c r="A79" s="156">
        <v>1</v>
      </c>
      <c r="B79" s="162" t="s">
        <v>481</v>
      </c>
      <c r="C79" s="162" t="s">
        <v>482</v>
      </c>
      <c r="D79" s="163">
        <v>30018623</v>
      </c>
      <c r="E79" s="163">
        <v>913000</v>
      </c>
      <c r="F79" s="162" t="s">
        <v>477</v>
      </c>
      <c r="G79" s="162" t="s">
        <v>483</v>
      </c>
      <c r="H79" s="164" t="s">
        <v>347</v>
      </c>
      <c r="I79" s="165">
        <v>70000</v>
      </c>
      <c r="J79" s="164" t="s">
        <v>347</v>
      </c>
      <c r="K79" s="165">
        <v>0</v>
      </c>
      <c r="L79" s="164" t="s">
        <v>347</v>
      </c>
      <c r="M79" s="165">
        <v>0</v>
      </c>
    </row>
    <row r="80" spans="1:14" ht="18.75" customHeight="1" x14ac:dyDescent="0.2">
      <c r="A80" s="166" t="s">
        <v>484</v>
      </c>
      <c r="B80" s="168"/>
      <c r="C80" s="168"/>
      <c r="D80" s="169"/>
      <c r="E80" s="169"/>
      <c r="F80" s="168"/>
      <c r="G80" s="168"/>
      <c r="H80" s="185">
        <f>SUM(H77:H79)</f>
        <v>2</v>
      </c>
      <c r="I80" s="170">
        <f>SUM(I77:I79)</f>
        <v>403000</v>
      </c>
      <c r="J80" s="185">
        <f>SUM(J77:J79)</f>
        <v>0</v>
      </c>
      <c r="K80" s="170">
        <f t="shared" ref="K80:M80" si="20">SUM(K77:K79)</f>
        <v>0</v>
      </c>
      <c r="L80" s="185">
        <f>SUM(L77:L79)</f>
        <v>0</v>
      </c>
      <c r="M80" s="170">
        <f t="shared" si="20"/>
        <v>0</v>
      </c>
    </row>
    <row r="81" spans="1:13" x14ac:dyDescent="0.2">
      <c r="A81" s="156">
        <v>1</v>
      </c>
      <c r="B81" s="162" t="s">
        <v>365</v>
      </c>
      <c r="C81" s="162" t="s">
        <v>485</v>
      </c>
      <c r="D81" s="163">
        <v>5078583</v>
      </c>
      <c r="E81" s="163">
        <v>996000</v>
      </c>
      <c r="F81" s="162" t="s">
        <v>162</v>
      </c>
      <c r="G81" s="162" t="s">
        <v>162</v>
      </c>
      <c r="H81" s="164">
        <v>0.65</v>
      </c>
      <c r="I81" s="172">
        <v>44000</v>
      </c>
      <c r="J81" s="164">
        <v>0.65</v>
      </c>
      <c r="K81" s="172">
        <v>44000</v>
      </c>
      <c r="L81" s="164">
        <v>0.65</v>
      </c>
      <c r="M81" s="165">
        <v>44000</v>
      </c>
    </row>
    <row r="82" spans="1:13" x14ac:dyDescent="0.2">
      <c r="A82" s="156">
        <v>1</v>
      </c>
      <c r="B82" s="162" t="s">
        <v>385</v>
      </c>
      <c r="C82" s="162" t="s">
        <v>486</v>
      </c>
      <c r="D82" s="163">
        <v>2021542</v>
      </c>
      <c r="E82" s="163">
        <v>996000</v>
      </c>
      <c r="F82" s="162" t="s">
        <v>162</v>
      </c>
      <c r="G82" s="162" t="s">
        <v>162</v>
      </c>
      <c r="H82" s="164">
        <v>0.438</v>
      </c>
      <c r="I82" s="172">
        <v>33000</v>
      </c>
      <c r="J82" s="164">
        <v>0.438</v>
      </c>
      <c r="K82" s="172">
        <v>33000</v>
      </c>
      <c r="L82" s="164">
        <v>0.438</v>
      </c>
      <c r="M82" s="165">
        <v>33000</v>
      </c>
    </row>
    <row r="83" spans="1:13" x14ac:dyDescent="0.2">
      <c r="A83" s="156">
        <v>1</v>
      </c>
      <c r="B83" s="162" t="s">
        <v>385</v>
      </c>
      <c r="C83" s="162" t="s">
        <v>487</v>
      </c>
      <c r="D83" s="163">
        <v>2021543</v>
      </c>
      <c r="E83" s="163">
        <v>996000</v>
      </c>
      <c r="F83" s="162" t="s">
        <v>162</v>
      </c>
      <c r="G83" s="162" t="s">
        <v>162</v>
      </c>
      <c r="H83" s="164">
        <v>0.33</v>
      </c>
      <c r="I83" s="172">
        <v>24000</v>
      </c>
      <c r="J83" s="164">
        <v>0.33</v>
      </c>
      <c r="K83" s="172">
        <v>24000</v>
      </c>
      <c r="L83" s="164">
        <v>0.33</v>
      </c>
      <c r="M83" s="165">
        <v>24000</v>
      </c>
    </row>
    <row r="84" spans="1:13" x14ac:dyDescent="0.2">
      <c r="A84" s="156">
        <v>1</v>
      </c>
      <c r="B84" s="162" t="s">
        <v>385</v>
      </c>
      <c r="C84" s="162" t="s">
        <v>488</v>
      </c>
      <c r="D84" s="163">
        <v>2021588</v>
      </c>
      <c r="E84" s="163">
        <v>996000</v>
      </c>
      <c r="F84" s="162" t="s">
        <v>162</v>
      </c>
      <c r="G84" s="162" t="s">
        <v>162</v>
      </c>
      <c r="H84" s="164">
        <v>0.7</v>
      </c>
      <c r="I84" s="172">
        <v>310000</v>
      </c>
      <c r="J84" s="164">
        <v>0.7</v>
      </c>
      <c r="K84" s="172">
        <v>310000</v>
      </c>
      <c r="L84" s="164">
        <v>0.7</v>
      </c>
      <c r="M84" s="165">
        <v>310000</v>
      </c>
    </row>
    <row r="85" spans="1:13" x14ac:dyDescent="0.2">
      <c r="A85" s="156">
        <v>1</v>
      </c>
      <c r="B85" s="162" t="s">
        <v>385</v>
      </c>
      <c r="C85" s="162" t="s">
        <v>489</v>
      </c>
      <c r="D85" s="163">
        <v>2021917</v>
      </c>
      <c r="E85" s="163">
        <v>996000</v>
      </c>
      <c r="F85" s="162" t="s">
        <v>162</v>
      </c>
      <c r="G85" s="162" t="s">
        <v>162</v>
      </c>
      <c r="H85" s="164">
        <v>0.22800000000000001</v>
      </c>
      <c r="I85" s="172">
        <v>21000</v>
      </c>
      <c r="J85" s="164">
        <v>0.22800000000000001</v>
      </c>
      <c r="K85" s="172">
        <v>21000</v>
      </c>
      <c r="L85" s="164">
        <v>0.22800000000000001</v>
      </c>
      <c r="M85" s="165">
        <v>21000</v>
      </c>
    </row>
    <row r="86" spans="1:13" x14ac:dyDescent="0.2">
      <c r="A86" s="156">
        <v>1</v>
      </c>
      <c r="B86" s="162" t="s">
        <v>385</v>
      </c>
      <c r="C86" s="162" t="s">
        <v>490</v>
      </c>
      <c r="D86" s="163">
        <v>2104122</v>
      </c>
      <c r="E86" s="163">
        <v>996000</v>
      </c>
      <c r="F86" s="162" t="s">
        <v>162</v>
      </c>
      <c r="G86" s="162" t="s">
        <v>162</v>
      </c>
      <c r="H86" s="164">
        <v>0.24</v>
      </c>
      <c r="I86" s="172">
        <v>21000</v>
      </c>
      <c r="J86" s="164">
        <v>0.24</v>
      </c>
      <c r="K86" s="172">
        <v>21000</v>
      </c>
      <c r="L86" s="164">
        <v>0.24</v>
      </c>
      <c r="M86" s="165">
        <v>21000</v>
      </c>
    </row>
    <row r="87" spans="1:13" x14ac:dyDescent="0.2">
      <c r="A87" s="156">
        <v>1</v>
      </c>
      <c r="B87" s="162" t="s">
        <v>385</v>
      </c>
      <c r="C87" s="162" t="s">
        <v>491</v>
      </c>
      <c r="D87" s="163">
        <v>3532972</v>
      </c>
      <c r="E87" s="163">
        <v>996000</v>
      </c>
      <c r="F87" s="162" t="s">
        <v>162</v>
      </c>
      <c r="G87" s="162" t="s">
        <v>162</v>
      </c>
      <c r="H87" s="164">
        <v>0.7</v>
      </c>
      <c r="I87" s="172">
        <v>170000</v>
      </c>
      <c r="J87" s="164">
        <v>0.7</v>
      </c>
      <c r="K87" s="172">
        <v>170000</v>
      </c>
      <c r="L87" s="164">
        <v>0.7</v>
      </c>
      <c r="M87" s="165">
        <v>170000</v>
      </c>
    </row>
    <row r="88" spans="1:13" x14ac:dyDescent="0.2">
      <c r="A88" s="156">
        <v>1</v>
      </c>
      <c r="B88" s="162" t="s">
        <v>492</v>
      </c>
      <c r="C88" s="162" t="s">
        <v>493</v>
      </c>
      <c r="D88" s="163">
        <v>3529446</v>
      </c>
      <c r="E88" s="163">
        <v>996000</v>
      </c>
      <c r="F88" s="162" t="s">
        <v>162</v>
      </c>
      <c r="G88" s="162" t="s">
        <v>162</v>
      </c>
      <c r="H88" s="164">
        <v>0.32</v>
      </c>
      <c r="I88" s="172">
        <v>24000</v>
      </c>
      <c r="J88" s="164">
        <v>0.32</v>
      </c>
      <c r="K88" s="172">
        <v>24000</v>
      </c>
      <c r="L88" s="164">
        <v>0.32</v>
      </c>
      <c r="M88" s="165">
        <v>24000</v>
      </c>
    </row>
    <row r="89" spans="1:13" x14ac:dyDescent="0.2">
      <c r="A89" s="156">
        <v>1</v>
      </c>
      <c r="B89" s="162" t="s">
        <v>458</v>
      </c>
      <c r="C89" s="162" t="s">
        <v>494</v>
      </c>
      <c r="D89" s="163">
        <v>2072913</v>
      </c>
      <c r="E89" s="163">
        <v>996000</v>
      </c>
      <c r="F89" s="162" t="s">
        <v>162</v>
      </c>
      <c r="G89" s="162" t="s">
        <v>162</v>
      </c>
      <c r="H89" s="164">
        <v>0.23</v>
      </c>
      <c r="I89" s="172">
        <v>27000</v>
      </c>
      <c r="J89" s="164">
        <v>0.23</v>
      </c>
      <c r="K89" s="172">
        <v>27000</v>
      </c>
      <c r="L89" s="164">
        <v>0.23</v>
      </c>
      <c r="M89" s="165">
        <v>27000</v>
      </c>
    </row>
    <row r="90" spans="1:13" x14ac:dyDescent="0.2">
      <c r="A90" s="156">
        <v>1</v>
      </c>
      <c r="B90" s="162" t="s">
        <v>495</v>
      </c>
      <c r="C90" s="162" t="s">
        <v>496</v>
      </c>
      <c r="D90" s="163">
        <v>5688038</v>
      </c>
      <c r="E90" s="163">
        <v>996000</v>
      </c>
      <c r="F90" s="162" t="s">
        <v>162</v>
      </c>
      <c r="G90" s="162" t="s">
        <v>162</v>
      </c>
      <c r="H90" s="164">
        <v>0.30499999999999999</v>
      </c>
      <c r="I90" s="172">
        <v>23000</v>
      </c>
      <c r="J90" s="164">
        <v>0.30499999999999999</v>
      </c>
      <c r="K90" s="172">
        <v>23000</v>
      </c>
      <c r="L90" s="164">
        <v>0.30499999999999999</v>
      </c>
      <c r="M90" s="165">
        <v>23000</v>
      </c>
    </row>
    <row r="91" spans="1:13" x14ac:dyDescent="0.2">
      <c r="A91" s="156">
        <v>1</v>
      </c>
      <c r="B91" s="162" t="s">
        <v>382</v>
      </c>
      <c r="C91" s="162" t="s">
        <v>497</v>
      </c>
      <c r="D91" s="163">
        <v>2016962</v>
      </c>
      <c r="E91" s="163">
        <v>996000</v>
      </c>
      <c r="F91" s="162" t="s">
        <v>162</v>
      </c>
      <c r="G91" s="162" t="s">
        <v>162</v>
      </c>
      <c r="H91" s="164">
        <v>0.18</v>
      </c>
      <c r="I91" s="172">
        <v>84000</v>
      </c>
      <c r="J91" s="164">
        <v>0.18</v>
      </c>
      <c r="K91" s="172">
        <v>84000</v>
      </c>
      <c r="L91" s="164">
        <v>0.18</v>
      </c>
      <c r="M91" s="165">
        <v>84000</v>
      </c>
    </row>
    <row r="92" spans="1:13" x14ac:dyDescent="0.2">
      <c r="A92" s="156">
        <v>1</v>
      </c>
      <c r="B92" s="162" t="s">
        <v>382</v>
      </c>
      <c r="C92" s="162" t="s">
        <v>498</v>
      </c>
      <c r="D92" s="163">
        <v>2021625</v>
      </c>
      <c r="E92" s="163">
        <v>996000</v>
      </c>
      <c r="F92" s="162" t="s">
        <v>162</v>
      </c>
      <c r="G92" s="162" t="s">
        <v>162</v>
      </c>
      <c r="H92" s="164">
        <v>0.4</v>
      </c>
      <c r="I92" s="172">
        <v>46000</v>
      </c>
      <c r="J92" s="164">
        <v>0.4</v>
      </c>
      <c r="K92" s="172">
        <v>46000</v>
      </c>
      <c r="L92" s="164">
        <v>0.4</v>
      </c>
      <c r="M92" s="165">
        <v>46000</v>
      </c>
    </row>
    <row r="93" spans="1:13" x14ac:dyDescent="0.2">
      <c r="A93" s="156">
        <v>1</v>
      </c>
      <c r="B93" s="162" t="s">
        <v>382</v>
      </c>
      <c r="C93" s="162" t="s">
        <v>499</v>
      </c>
      <c r="D93" s="163">
        <v>5481949</v>
      </c>
      <c r="E93" s="163">
        <v>996000</v>
      </c>
      <c r="F93" s="162" t="s">
        <v>162</v>
      </c>
      <c r="G93" s="162" t="s">
        <v>162</v>
      </c>
      <c r="H93" s="164">
        <v>0.65500000000000003</v>
      </c>
      <c r="I93" s="172">
        <v>78000</v>
      </c>
      <c r="J93" s="164">
        <v>0.65500000000000003</v>
      </c>
      <c r="K93" s="172">
        <v>78000</v>
      </c>
      <c r="L93" s="164">
        <v>0.65500000000000003</v>
      </c>
      <c r="M93" s="165">
        <v>78000</v>
      </c>
    </row>
    <row r="94" spans="1:13" x14ac:dyDescent="0.2">
      <c r="A94" s="156">
        <v>1</v>
      </c>
      <c r="B94" s="162" t="s">
        <v>341</v>
      </c>
      <c r="C94" s="162" t="s">
        <v>500</v>
      </c>
      <c r="D94" s="163">
        <v>5625907</v>
      </c>
      <c r="E94" s="163">
        <v>996000</v>
      </c>
      <c r="F94" s="162" t="s">
        <v>162</v>
      </c>
      <c r="G94" s="162" t="s">
        <v>162</v>
      </c>
      <c r="H94" s="164">
        <v>0.64</v>
      </c>
      <c r="I94" s="165">
        <v>250000</v>
      </c>
      <c r="J94" s="164">
        <v>0.64</v>
      </c>
      <c r="K94" s="165">
        <v>250000</v>
      </c>
      <c r="L94" s="164">
        <v>0.64</v>
      </c>
      <c r="M94" s="165">
        <v>250000</v>
      </c>
    </row>
    <row r="95" spans="1:13" x14ac:dyDescent="0.2">
      <c r="A95" s="156">
        <v>1</v>
      </c>
      <c r="B95" s="162" t="s">
        <v>501</v>
      </c>
      <c r="C95" s="162" t="s">
        <v>502</v>
      </c>
      <c r="D95" s="163">
        <v>5760050</v>
      </c>
      <c r="E95" s="163">
        <v>996000</v>
      </c>
      <c r="F95" s="162" t="s">
        <v>162</v>
      </c>
      <c r="G95" s="162" t="s">
        <v>162</v>
      </c>
      <c r="H95" s="164">
        <v>0.26</v>
      </c>
      <c r="I95" s="165">
        <v>25000</v>
      </c>
      <c r="J95" s="164">
        <v>0.26</v>
      </c>
      <c r="K95" s="165">
        <v>25000</v>
      </c>
      <c r="L95" s="164">
        <v>0.26</v>
      </c>
      <c r="M95" s="165">
        <v>25000</v>
      </c>
    </row>
    <row r="96" spans="1:13" x14ac:dyDescent="0.2">
      <c r="A96" s="156">
        <v>1</v>
      </c>
      <c r="B96" s="162" t="s">
        <v>501</v>
      </c>
      <c r="C96" s="162" t="s">
        <v>503</v>
      </c>
      <c r="D96" s="163">
        <v>5692217</v>
      </c>
      <c r="E96" s="163">
        <v>996000</v>
      </c>
      <c r="F96" s="162" t="s">
        <v>162</v>
      </c>
      <c r="G96" s="162" t="s">
        <v>162</v>
      </c>
      <c r="H96" s="164">
        <v>0.63</v>
      </c>
      <c r="I96" s="172">
        <v>56000</v>
      </c>
      <c r="J96" s="164">
        <v>0.63</v>
      </c>
      <c r="K96" s="172">
        <v>56000</v>
      </c>
      <c r="L96" s="164">
        <v>0.63</v>
      </c>
      <c r="M96" s="165">
        <v>56000</v>
      </c>
    </row>
    <row r="97" spans="1:13" x14ac:dyDescent="0.2">
      <c r="A97" s="156">
        <v>1</v>
      </c>
      <c r="B97" s="162" t="s">
        <v>504</v>
      </c>
      <c r="C97" s="162" t="s">
        <v>334</v>
      </c>
      <c r="D97" s="163">
        <v>5688075</v>
      </c>
      <c r="E97" s="163">
        <v>996000</v>
      </c>
      <c r="F97" s="162" t="s">
        <v>162</v>
      </c>
      <c r="G97" s="162" t="s">
        <v>162</v>
      </c>
      <c r="H97" s="164">
        <v>0.47</v>
      </c>
      <c r="I97" s="172">
        <v>68000</v>
      </c>
      <c r="J97" s="164">
        <v>0.47</v>
      </c>
      <c r="K97" s="172">
        <v>68000</v>
      </c>
      <c r="L97" s="164">
        <v>0.47</v>
      </c>
      <c r="M97" s="165">
        <v>68000</v>
      </c>
    </row>
    <row r="98" spans="1:13" x14ac:dyDescent="0.2">
      <c r="A98" s="156">
        <v>1</v>
      </c>
      <c r="B98" s="162" t="s">
        <v>505</v>
      </c>
      <c r="C98" s="162" t="s">
        <v>506</v>
      </c>
      <c r="D98" s="163">
        <v>2016799</v>
      </c>
      <c r="E98" s="163">
        <v>996000</v>
      </c>
      <c r="F98" s="162" t="s">
        <v>162</v>
      </c>
      <c r="G98" s="162" t="s">
        <v>162</v>
      </c>
      <c r="H98" s="164">
        <v>0.44</v>
      </c>
      <c r="I98" s="172">
        <v>47000</v>
      </c>
      <c r="J98" s="164">
        <v>0.44</v>
      </c>
      <c r="K98" s="172">
        <v>47000</v>
      </c>
      <c r="L98" s="164">
        <v>0.44</v>
      </c>
      <c r="M98" s="165">
        <v>47000</v>
      </c>
    </row>
    <row r="99" spans="1:13" x14ac:dyDescent="0.2">
      <c r="A99" s="156">
        <v>1</v>
      </c>
      <c r="B99" s="162" t="s">
        <v>318</v>
      </c>
      <c r="C99" s="162" t="s">
        <v>507</v>
      </c>
      <c r="D99" s="163">
        <v>2021112</v>
      </c>
      <c r="E99" s="163">
        <v>996000</v>
      </c>
      <c r="F99" s="162" t="s">
        <v>162</v>
      </c>
      <c r="G99" s="162" t="s">
        <v>162</v>
      </c>
      <c r="H99" s="164">
        <v>0.67</v>
      </c>
      <c r="I99" s="172">
        <v>72000</v>
      </c>
      <c r="J99" s="164">
        <v>0.67</v>
      </c>
      <c r="K99" s="172">
        <v>72000</v>
      </c>
      <c r="L99" s="164">
        <v>0.67</v>
      </c>
      <c r="M99" s="165">
        <v>72000</v>
      </c>
    </row>
    <row r="100" spans="1:13" x14ac:dyDescent="0.2">
      <c r="A100" s="156">
        <v>1</v>
      </c>
      <c r="B100" s="162" t="s">
        <v>318</v>
      </c>
      <c r="C100" s="162" t="s">
        <v>508</v>
      </c>
      <c r="D100" s="163">
        <v>2021139</v>
      </c>
      <c r="E100" s="163">
        <v>996000</v>
      </c>
      <c r="F100" s="162" t="s">
        <v>162</v>
      </c>
      <c r="G100" s="162" t="s">
        <v>162</v>
      </c>
      <c r="H100" s="164">
        <v>0.32</v>
      </c>
      <c r="I100" s="172">
        <v>23000</v>
      </c>
      <c r="J100" s="164">
        <v>0.32</v>
      </c>
      <c r="K100" s="172">
        <v>23000</v>
      </c>
      <c r="L100" s="164">
        <v>0.32</v>
      </c>
      <c r="M100" s="165">
        <v>23000</v>
      </c>
    </row>
    <row r="101" spans="1:13" x14ac:dyDescent="0.2">
      <c r="A101" s="156">
        <v>1</v>
      </c>
      <c r="B101" s="162" t="s">
        <v>318</v>
      </c>
      <c r="C101" s="162" t="s">
        <v>509</v>
      </c>
      <c r="D101" s="163">
        <v>2049080</v>
      </c>
      <c r="E101" s="163">
        <v>996000</v>
      </c>
      <c r="F101" s="162" t="s">
        <v>162</v>
      </c>
      <c r="G101" s="162" t="s">
        <v>162</v>
      </c>
      <c r="H101" s="164">
        <v>0.39700000000000002</v>
      </c>
      <c r="I101" s="172">
        <v>42000</v>
      </c>
      <c r="J101" s="164">
        <v>0.39700000000000002</v>
      </c>
      <c r="K101" s="172">
        <v>42000</v>
      </c>
      <c r="L101" s="164">
        <v>0.39700000000000002</v>
      </c>
      <c r="M101" s="165">
        <v>42000</v>
      </c>
    </row>
    <row r="102" spans="1:13" x14ac:dyDescent="0.2">
      <c r="A102" s="156">
        <v>1</v>
      </c>
      <c r="B102" s="162" t="s">
        <v>510</v>
      </c>
      <c r="C102" s="162" t="s">
        <v>511</v>
      </c>
      <c r="D102" s="163">
        <v>5938514</v>
      </c>
      <c r="E102" s="163">
        <v>996000</v>
      </c>
      <c r="F102" s="162" t="s">
        <v>162</v>
      </c>
      <c r="G102" s="162" t="s">
        <v>162</v>
      </c>
      <c r="H102" s="164">
        <v>0.65</v>
      </c>
      <c r="I102" s="172">
        <v>70000</v>
      </c>
      <c r="J102" s="164">
        <v>0.65</v>
      </c>
      <c r="K102" s="172">
        <v>70000</v>
      </c>
      <c r="L102" s="164">
        <v>0.65</v>
      </c>
      <c r="M102" s="165">
        <v>70000</v>
      </c>
    </row>
    <row r="103" spans="1:13" x14ac:dyDescent="0.2">
      <c r="A103" s="156">
        <v>1</v>
      </c>
      <c r="B103" s="162" t="s">
        <v>355</v>
      </c>
      <c r="C103" s="162" t="s">
        <v>512</v>
      </c>
      <c r="D103" s="163">
        <v>2016851</v>
      </c>
      <c r="E103" s="163">
        <v>996000</v>
      </c>
      <c r="F103" s="162" t="s">
        <v>162</v>
      </c>
      <c r="G103" s="162" t="s">
        <v>162</v>
      </c>
      <c r="H103" s="164">
        <v>0.40300000000000002</v>
      </c>
      <c r="I103" s="172">
        <v>48000</v>
      </c>
      <c r="J103" s="164">
        <v>0.40300000000000002</v>
      </c>
      <c r="K103" s="172">
        <v>48000</v>
      </c>
      <c r="L103" s="164">
        <v>0.40300000000000002</v>
      </c>
      <c r="M103" s="165">
        <v>48000</v>
      </c>
    </row>
    <row r="104" spans="1:13" x14ac:dyDescent="0.2">
      <c r="A104" s="156">
        <v>1</v>
      </c>
      <c r="B104" s="162" t="s">
        <v>355</v>
      </c>
      <c r="C104" s="162" t="s">
        <v>513</v>
      </c>
      <c r="D104" s="163">
        <v>2114913</v>
      </c>
      <c r="E104" s="163">
        <v>996000</v>
      </c>
      <c r="F104" s="162" t="s">
        <v>162</v>
      </c>
      <c r="G104" s="162" t="s">
        <v>162</v>
      </c>
      <c r="H104" s="164">
        <v>0.26200000000000001</v>
      </c>
      <c r="I104" s="172">
        <v>22000</v>
      </c>
      <c r="J104" s="164">
        <v>0.26200000000000001</v>
      </c>
      <c r="K104" s="172">
        <v>22000</v>
      </c>
      <c r="L104" s="164">
        <v>0.26200000000000001</v>
      </c>
      <c r="M104" s="165">
        <v>22000</v>
      </c>
    </row>
    <row r="105" spans="1:13" x14ac:dyDescent="0.2">
      <c r="A105" s="156">
        <v>1</v>
      </c>
      <c r="B105" s="162" t="s">
        <v>428</v>
      </c>
      <c r="C105" s="162" t="s">
        <v>407</v>
      </c>
      <c r="D105" s="163">
        <v>2016883</v>
      </c>
      <c r="E105" s="163">
        <v>996000</v>
      </c>
      <c r="F105" s="162" t="s">
        <v>162</v>
      </c>
      <c r="G105" s="162" t="s">
        <v>162</v>
      </c>
      <c r="H105" s="164">
        <v>0.45</v>
      </c>
      <c r="I105" s="172">
        <v>35000</v>
      </c>
      <c r="J105" s="164">
        <v>0.45</v>
      </c>
      <c r="K105" s="172">
        <v>35000</v>
      </c>
      <c r="L105" s="164">
        <v>0.45</v>
      </c>
      <c r="M105" s="165">
        <v>35000</v>
      </c>
    </row>
    <row r="106" spans="1:13" x14ac:dyDescent="0.2">
      <c r="A106" s="156">
        <v>1</v>
      </c>
      <c r="B106" s="162" t="s">
        <v>428</v>
      </c>
      <c r="C106" s="162" t="s">
        <v>514</v>
      </c>
      <c r="D106" s="163">
        <v>2013214</v>
      </c>
      <c r="E106" s="163">
        <v>996000</v>
      </c>
      <c r="F106" s="162" t="s">
        <v>162</v>
      </c>
      <c r="G106" s="162" t="s">
        <v>162</v>
      </c>
      <c r="H106" s="164">
        <v>0.186</v>
      </c>
      <c r="I106" s="172">
        <v>15000</v>
      </c>
      <c r="J106" s="164">
        <v>0.186</v>
      </c>
      <c r="K106" s="172">
        <v>15000</v>
      </c>
      <c r="L106" s="164">
        <v>0.186</v>
      </c>
      <c r="M106" s="165">
        <v>15000</v>
      </c>
    </row>
    <row r="107" spans="1:13" x14ac:dyDescent="0.2">
      <c r="A107" s="156">
        <v>1</v>
      </c>
      <c r="B107" s="162" t="s">
        <v>428</v>
      </c>
      <c r="C107" s="162" t="s">
        <v>515</v>
      </c>
      <c r="D107" s="163">
        <v>2021217</v>
      </c>
      <c r="E107" s="163">
        <v>996000</v>
      </c>
      <c r="F107" s="162" t="s">
        <v>162</v>
      </c>
      <c r="G107" s="162" t="s">
        <v>162</v>
      </c>
      <c r="H107" s="164">
        <v>0.38700000000000001</v>
      </c>
      <c r="I107" s="172">
        <v>190000</v>
      </c>
      <c r="J107" s="164">
        <v>0.38700000000000001</v>
      </c>
      <c r="K107" s="172">
        <v>190000</v>
      </c>
      <c r="L107" s="164">
        <v>0.38700000000000001</v>
      </c>
      <c r="M107" s="165">
        <v>190000</v>
      </c>
    </row>
    <row r="108" spans="1:13" x14ac:dyDescent="0.2">
      <c r="A108" s="156">
        <v>1</v>
      </c>
      <c r="B108" s="162" t="s">
        <v>428</v>
      </c>
      <c r="C108" s="162" t="s">
        <v>516</v>
      </c>
      <c r="D108" s="163">
        <v>2021420</v>
      </c>
      <c r="E108" s="163">
        <v>996000</v>
      </c>
      <c r="F108" s="162" t="s">
        <v>162</v>
      </c>
      <c r="G108" s="162" t="s">
        <v>162</v>
      </c>
      <c r="H108" s="164">
        <v>0.2</v>
      </c>
      <c r="I108" s="172">
        <v>14000</v>
      </c>
      <c r="J108" s="164">
        <v>0.2</v>
      </c>
      <c r="K108" s="172">
        <v>14000</v>
      </c>
      <c r="L108" s="164">
        <v>0.2</v>
      </c>
      <c r="M108" s="165">
        <v>14000</v>
      </c>
    </row>
    <row r="109" spans="1:13" x14ac:dyDescent="0.2">
      <c r="A109" s="156">
        <v>1</v>
      </c>
      <c r="B109" s="162" t="s">
        <v>428</v>
      </c>
      <c r="C109" s="162" t="s">
        <v>517</v>
      </c>
      <c r="D109" s="163">
        <v>3533437</v>
      </c>
      <c r="E109" s="163">
        <v>996000</v>
      </c>
      <c r="F109" s="162" t="s">
        <v>162</v>
      </c>
      <c r="G109" s="162" t="s">
        <v>162</v>
      </c>
      <c r="H109" s="164">
        <v>0.433</v>
      </c>
      <c r="I109" s="172">
        <v>62000</v>
      </c>
      <c r="J109" s="164">
        <v>0.433</v>
      </c>
      <c r="K109" s="172">
        <v>62000</v>
      </c>
      <c r="L109" s="164">
        <v>0.433</v>
      </c>
      <c r="M109" s="165">
        <v>62000</v>
      </c>
    </row>
    <row r="110" spans="1:13" x14ac:dyDescent="0.2">
      <c r="A110" s="156">
        <v>1</v>
      </c>
      <c r="B110" s="162" t="s">
        <v>518</v>
      </c>
      <c r="C110" s="162" t="s">
        <v>519</v>
      </c>
      <c r="D110" s="163">
        <v>2049048</v>
      </c>
      <c r="E110" s="163">
        <v>996000</v>
      </c>
      <c r="F110" s="162" t="s">
        <v>162</v>
      </c>
      <c r="G110" s="162" t="s">
        <v>162</v>
      </c>
      <c r="H110" s="164">
        <v>0.16</v>
      </c>
      <c r="I110" s="172">
        <v>15000</v>
      </c>
      <c r="J110" s="164">
        <v>0.16</v>
      </c>
      <c r="K110" s="172">
        <v>15000</v>
      </c>
      <c r="L110" s="164">
        <v>0.16</v>
      </c>
      <c r="M110" s="165">
        <v>15000</v>
      </c>
    </row>
    <row r="111" spans="1:13" x14ac:dyDescent="0.2">
      <c r="A111" s="156">
        <v>1</v>
      </c>
      <c r="B111" s="162" t="s">
        <v>465</v>
      </c>
      <c r="C111" s="162" t="s">
        <v>520</v>
      </c>
      <c r="D111" s="163">
        <v>2012818</v>
      </c>
      <c r="E111" s="163">
        <v>996000</v>
      </c>
      <c r="F111" s="162" t="s">
        <v>162</v>
      </c>
      <c r="G111" s="162" t="s">
        <v>162</v>
      </c>
      <c r="H111" s="164">
        <v>0.36</v>
      </c>
      <c r="I111" s="172">
        <v>30000</v>
      </c>
      <c r="J111" s="164">
        <v>0.36</v>
      </c>
      <c r="K111" s="172">
        <v>30000</v>
      </c>
      <c r="L111" s="164">
        <v>0.36</v>
      </c>
      <c r="M111" s="165">
        <v>30000</v>
      </c>
    </row>
    <row r="112" spans="1:13" x14ac:dyDescent="0.2">
      <c r="A112" s="156">
        <v>1</v>
      </c>
      <c r="B112" s="162" t="s">
        <v>465</v>
      </c>
      <c r="C112" s="162" t="s">
        <v>521</v>
      </c>
      <c r="D112" s="163">
        <v>2021141</v>
      </c>
      <c r="E112" s="163">
        <v>996000</v>
      </c>
      <c r="F112" s="162" t="s">
        <v>162</v>
      </c>
      <c r="G112" s="162" t="s">
        <v>162</v>
      </c>
      <c r="H112" s="164">
        <v>0.67</v>
      </c>
      <c r="I112" s="172">
        <v>110000</v>
      </c>
      <c r="J112" s="164">
        <v>0.67</v>
      </c>
      <c r="K112" s="172">
        <v>110000</v>
      </c>
      <c r="L112" s="164">
        <v>0.67</v>
      </c>
      <c r="M112" s="165">
        <v>110000</v>
      </c>
    </row>
    <row r="113" spans="1:13" ht="30" x14ac:dyDescent="0.2">
      <c r="A113" s="156">
        <v>1</v>
      </c>
      <c r="B113" s="162" t="s">
        <v>522</v>
      </c>
      <c r="C113" s="162" t="s">
        <v>523</v>
      </c>
      <c r="D113" s="163">
        <v>2016633</v>
      </c>
      <c r="E113" s="163">
        <v>996000</v>
      </c>
      <c r="F113" s="162" t="s">
        <v>162</v>
      </c>
      <c r="G113" s="162" t="s">
        <v>162</v>
      </c>
      <c r="H113" s="164">
        <v>0.224</v>
      </c>
      <c r="I113" s="172">
        <v>17000</v>
      </c>
      <c r="J113" s="164">
        <v>0.224</v>
      </c>
      <c r="K113" s="172">
        <v>17000</v>
      </c>
      <c r="L113" s="164">
        <v>0.224</v>
      </c>
      <c r="M113" s="165">
        <v>17000</v>
      </c>
    </row>
    <row r="114" spans="1:13" x14ac:dyDescent="0.2">
      <c r="A114" s="156">
        <v>1</v>
      </c>
      <c r="B114" s="162" t="s">
        <v>524</v>
      </c>
      <c r="C114" s="162" t="s">
        <v>525</v>
      </c>
      <c r="D114" s="163">
        <v>5515856</v>
      </c>
      <c r="E114" s="163">
        <v>996000</v>
      </c>
      <c r="F114" s="162" t="s">
        <v>162</v>
      </c>
      <c r="G114" s="162" t="s">
        <v>162</v>
      </c>
      <c r="H114" s="164">
        <v>0.61599999999999999</v>
      </c>
      <c r="I114" s="172">
        <v>62000</v>
      </c>
      <c r="J114" s="164">
        <v>0.61599999999999999</v>
      </c>
      <c r="K114" s="172">
        <v>62000</v>
      </c>
      <c r="L114" s="164">
        <v>0.61599999999999999</v>
      </c>
      <c r="M114" s="165">
        <v>62000</v>
      </c>
    </row>
    <row r="115" spans="1:13" x14ac:dyDescent="0.2">
      <c r="A115" s="156">
        <v>1</v>
      </c>
      <c r="B115" s="162" t="s">
        <v>526</v>
      </c>
      <c r="C115" s="162" t="s">
        <v>527</v>
      </c>
      <c r="D115" s="163">
        <v>2021476</v>
      </c>
      <c r="E115" s="163">
        <v>996000</v>
      </c>
      <c r="F115" s="162" t="s">
        <v>162</v>
      </c>
      <c r="G115" s="162" t="s">
        <v>162</v>
      </c>
      <c r="H115" s="164">
        <v>0.27</v>
      </c>
      <c r="I115" s="172">
        <v>24000</v>
      </c>
      <c r="J115" s="164">
        <v>0.27</v>
      </c>
      <c r="K115" s="172">
        <v>24000</v>
      </c>
      <c r="L115" s="164">
        <v>0.27</v>
      </c>
      <c r="M115" s="165">
        <v>24000</v>
      </c>
    </row>
    <row r="116" spans="1:13" x14ac:dyDescent="0.2">
      <c r="A116" s="156">
        <v>1</v>
      </c>
      <c r="B116" s="162" t="s">
        <v>526</v>
      </c>
      <c r="C116" s="162" t="s">
        <v>528</v>
      </c>
      <c r="D116" s="163">
        <v>2016970</v>
      </c>
      <c r="E116" s="163">
        <v>996000</v>
      </c>
      <c r="F116" s="162" t="s">
        <v>162</v>
      </c>
      <c r="G116" s="162" t="s">
        <v>162</v>
      </c>
      <c r="H116" s="164">
        <v>0.27300000000000002</v>
      </c>
      <c r="I116" s="172">
        <v>24000</v>
      </c>
      <c r="J116" s="164">
        <v>0.27300000000000002</v>
      </c>
      <c r="K116" s="172">
        <v>24000</v>
      </c>
      <c r="L116" s="164">
        <v>0.27300000000000002</v>
      </c>
      <c r="M116" s="165">
        <v>24000</v>
      </c>
    </row>
    <row r="117" spans="1:13" x14ac:dyDescent="0.2">
      <c r="A117" s="156">
        <v>1</v>
      </c>
      <c r="B117" s="162" t="s">
        <v>526</v>
      </c>
      <c r="C117" s="162" t="s">
        <v>476</v>
      </c>
      <c r="D117" s="163">
        <v>2021475</v>
      </c>
      <c r="E117" s="163">
        <v>996000</v>
      </c>
      <c r="F117" s="162" t="s">
        <v>162</v>
      </c>
      <c r="G117" s="162" t="s">
        <v>162</v>
      </c>
      <c r="H117" s="164">
        <v>0.35199999999999998</v>
      </c>
      <c r="I117" s="172">
        <v>48000</v>
      </c>
      <c r="J117" s="164">
        <v>0.35199999999999998</v>
      </c>
      <c r="K117" s="172">
        <v>48000</v>
      </c>
      <c r="L117" s="164">
        <v>0.35199999999999998</v>
      </c>
      <c r="M117" s="165">
        <v>48000</v>
      </c>
    </row>
    <row r="118" spans="1:13" x14ac:dyDescent="0.2">
      <c r="A118" s="156">
        <v>1</v>
      </c>
      <c r="B118" s="162" t="s">
        <v>526</v>
      </c>
      <c r="C118" s="162" t="s">
        <v>421</v>
      </c>
      <c r="D118" s="163">
        <v>2021981</v>
      </c>
      <c r="E118" s="163">
        <v>996000</v>
      </c>
      <c r="F118" s="162" t="s">
        <v>162</v>
      </c>
      <c r="G118" s="162" t="s">
        <v>162</v>
      </c>
      <c r="H118" s="164">
        <v>0.56000000000000005</v>
      </c>
      <c r="I118" s="172">
        <v>50000</v>
      </c>
      <c r="J118" s="164">
        <v>0.56000000000000005</v>
      </c>
      <c r="K118" s="172">
        <v>50000</v>
      </c>
      <c r="L118" s="164">
        <v>0.56000000000000005</v>
      </c>
      <c r="M118" s="165">
        <v>50000</v>
      </c>
    </row>
    <row r="119" spans="1:13" x14ac:dyDescent="0.2">
      <c r="A119" s="156">
        <v>1</v>
      </c>
      <c r="B119" s="162" t="s">
        <v>390</v>
      </c>
      <c r="C119" s="162" t="s">
        <v>529</v>
      </c>
      <c r="D119" s="163">
        <v>2021340</v>
      </c>
      <c r="E119" s="163">
        <v>996000</v>
      </c>
      <c r="F119" s="162" t="s">
        <v>162</v>
      </c>
      <c r="G119" s="162" t="s">
        <v>162</v>
      </c>
      <c r="H119" s="164">
        <v>0.26800000000000002</v>
      </c>
      <c r="I119" s="172">
        <v>22000</v>
      </c>
      <c r="J119" s="164">
        <v>0.26800000000000002</v>
      </c>
      <c r="K119" s="172">
        <v>22000</v>
      </c>
      <c r="L119" s="164">
        <v>0.26800000000000002</v>
      </c>
      <c r="M119" s="165">
        <v>22000</v>
      </c>
    </row>
    <row r="120" spans="1:13" x14ac:dyDescent="0.2">
      <c r="A120" s="156">
        <v>1</v>
      </c>
      <c r="B120" s="162" t="s">
        <v>390</v>
      </c>
      <c r="C120" s="162" t="s">
        <v>530</v>
      </c>
      <c r="D120" s="163">
        <v>5250811</v>
      </c>
      <c r="E120" s="163">
        <v>996000</v>
      </c>
      <c r="F120" s="162" t="s">
        <v>162</v>
      </c>
      <c r="G120" s="162" t="s">
        <v>162</v>
      </c>
      <c r="H120" s="164">
        <v>0.26800000000000002</v>
      </c>
      <c r="I120" s="172">
        <v>20000</v>
      </c>
      <c r="J120" s="164">
        <v>0.26800000000000002</v>
      </c>
      <c r="K120" s="172">
        <v>20000</v>
      </c>
      <c r="L120" s="164">
        <v>0.26800000000000002</v>
      </c>
      <c r="M120" s="165">
        <v>20000</v>
      </c>
    </row>
    <row r="121" spans="1:13" x14ac:dyDescent="0.2">
      <c r="A121" s="156">
        <v>1</v>
      </c>
      <c r="B121" s="162" t="s">
        <v>390</v>
      </c>
      <c r="C121" s="162" t="s">
        <v>531</v>
      </c>
      <c r="D121" s="163">
        <v>8099260</v>
      </c>
      <c r="E121" s="163">
        <v>996000</v>
      </c>
      <c r="F121" s="162" t="s">
        <v>162</v>
      </c>
      <c r="G121" s="162" t="s">
        <v>162</v>
      </c>
      <c r="H121" s="164">
        <v>0.29499999999999998</v>
      </c>
      <c r="I121" s="172">
        <v>24000</v>
      </c>
      <c r="J121" s="164">
        <v>0.29499999999999998</v>
      </c>
      <c r="K121" s="172">
        <v>24000</v>
      </c>
      <c r="L121" s="164">
        <v>0.29499999999999998</v>
      </c>
      <c r="M121" s="165">
        <v>24000</v>
      </c>
    </row>
    <row r="122" spans="1:13" x14ac:dyDescent="0.2">
      <c r="A122" s="156">
        <v>1</v>
      </c>
      <c r="B122" s="162" t="s">
        <v>532</v>
      </c>
      <c r="C122" s="162" t="s">
        <v>533</v>
      </c>
      <c r="D122" s="163">
        <v>3547802</v>
      </c>
      <c r="E122" s="163">
        <v>996000</v>
      </c>
      <c r="F122" s="162" t="s">
        <v>162</v>
      </c>
      <c r="G122" s="162" t="s">
        <v>162</v>
      </c>
      <c r="H122" s="164">
        <v>0.33100000000000002</v>
      </c>
      <c r="I122" s="172">
        <v>29000</v>
      </c>
      <c r="J122" s="164">
        <v>0.33100000000000002</v>
      </c>
      <c r="K122" s="172">
        <v>29000</v>
      </c>
      <c r="L122" s="164">
        <v>0.33100000000000002</v>
      </c>
      <c r="M122" s="165">
        <v>29000</v>
      </c>
    </row>
    <row r="123" spans="1:13" x14ac:dyDescent="0.2">
      <c r="A123" s="156">
        <v>1</v>
      </c>
      <c r="B123" s="162" t="s">
        <v>534</v>
      </c>
      <c r="C123" s="162" t="s">
        <v>535</v>
      </c>
      <c r="D123" s="163">
        <v>5049194</v>
      </c>
      <c r="E123" s="163">
        <v>996000</v>
      </c>
      <c r="F123" s="162" t="s">
        <v>162</v>
      </c>
      <c r="G123" s="162" t="s">
        <v>162</v>
      </c>
      <c r="H123" s="164">
        <v>0.4</v>
      </c>
      <c r="I123" s="172">
        <v>66000</v>
      </c>
      <c r="J123" s="164">
        <v>0.4</v>
      </c>
      <c r="K123" s="172">
        <v>66000</v>
      </c>
      <c r="L123" s="164">
        <v>0.4</v>
      </c>
      <c r="M123" s="165">
        <v>66000</v>
      </c>
    </row>
    <row r="124" spans="1:13" x14ac:dyDescent="0.2">
      <c r="A124" s="156">
        <v>1</v>
      </c>
      <c r="B124" s="162" t="s">
        <v>323</v>
      </c>
      <c r="C124" s="162" t="s">
        <v>495</v>
      </c>
      <c r="D124" s="163">
        <v>2021321</v>
      </c>
      <c r="E124" s="163">
        <v>996000</v>
      </c>
      <c r="F124" s="162" t="s">
        <v>162</v>
      </c>
      <c r="G124" s="162" t="s">
        <v>162</v>
      </c>
      <c r="H124" s="164">
        <v>0.192</v>
      </c>
      <c r="I124" s="172">
        <v>91000</v>
      </c>
      <c r="J124" s="164">
        <v>0.192</v>
      </c>
      <c r="K124" s="172">
        <v>91000</v>
      </c>
      <c r="L124" s="164">
        <v>0.192</v>
      </c>
      <c r="M124" s="165">
        <v>91000</v>
      </c>
    </row>
    <row r="125" spans="1:13" x14ac:dyDescent="0.2">
      <c r="A125" s="156">
        <v>1</v>
      </c>
      <c r="B125" s="162" t="s">
        <v>323</v>
      </c>
      <c r="C125" s="162" t="s">
        <v>536</v>
      </c>
      <c r="D125" s="163">
        <v>5243431</v>
      </c>
      <c r="E125" s="163">
        <v>996000</v>
      </c>
      <c r="F125" s="162" t="s">
        <v>162</v>
      </c>
      <c r="G125" s="162" t="s">
        <v>162</v>
      </c>
      <c r="H125" s="164">
        <v>0.09</v>
      </c>
      <c r="I125" s="172">
        <v>18000</v>
      </c>
      <c r="J125" s="164">
        <v>0.09</v>
      </c>
      <c r="K125" s="172">
        <v>18000</v>
      </c>
      <c r="L125" s="164">
        <v>0.09</v>
      </c>
      <c r="M125" s="165">
        <v>18000</v>
      </c>
    </row>
    <row r="126" spans="1:13" x14ac:dyDescent="0.2">
      <c r="A126" s="156">
        <v>1</v>
      </c>
      <c r="B126" s="162" t="s">
        <v>323</v>
      </c>
      <c r="C126" s="162" t="s">
        <v>472</v>
      </c>
      <c r="D126" s="163">
        <v>5440423</v>
      </c>
      <c r="E126" s="163">
        <v>996000</v>
      </c>
      <c r="F126" s="162" t="s">
        <v>162</v>
      </c>
      <c r="G126" s="162" t="s">
        <v>162</v>
      </c>
      <c r="H126" s="164">
        <v>0.63400000000000001</v>
      </c>
      <c r="I126" s="172">
        <v>63000</v>
      </c>
      <c r="J126" s="164">
        <v>0.63400000000000001</v>
      </c>
      <c r="K126" s="172">
        <v>63000</v>
      </c>
      <c r="L126" s="164">
        <v>0.63400000000000001</v>
      </c>
      <c r="M126" s="165">
        <v>63000</v>
      </c>
    </row>
    <row r="127" spans="1:13" x14ac:dyDescent="0.2">
      <c r="A127" s="156">
        <v>1</v>
      </c>
      <c r="B127" s="162" t="s">
        <v>323</v>
      </c>
      <c r="C127" s="162" t="s">
        <v>537</v>
      </c>
      <c r="D127" s="163">
        <v>5515992</v>
      </c>
      <c r="E127" s="163">
        <v>996000</v>
      </c>
      <c r="F127" s="162" t="s">
        <v>162</v>
      </c>
      <c r="G127" s="162" t="s">
        <v>162</v>
      </c>
      <c r="H127" s="164">
        <v>0.308</v>
      </c>
      <c r="I127" s="172">
        <v>56000</v>
      </c>
      <c r="J127" s="164">
        <v>0.308</v>
      </c>
      <c r="K127" s="172">
        <v>56000</v>
      </c>
      <c r="L127" s="164">
        <v>0.308</v>
      </c>
      <c r="M127" s="165">
        <v>56000</v>
      </c>
    </row>
    <row r="128" spans="1:13" x14ac:dyDescent="0.2">
      <c r="A128" s="156">
        <v>1</v>
      </c>
      <c r="B128" s="162" t="s">
        <v>323</v>
      </c>
      <c r="C128" s="162" t="s">
        <v>538</v>
      </c>
      <c r="D128" s="163">
        <v>5688223</v>
      </c>
      <c r="E128" s="163">
        <v>996000</v>
      </c>
      <c r="F128" s="162" t="s">
        <v>162</v>
      </c>
      <c r="G128" s="162" t="s">
        <v>162</v>
      </c>
      <c r="H128" s="164">
        <v>0.60299999999999998</v>
      </c>
      <c r="I128" s="172">
        <v>80000</v>
      </c>
      <c r="J128" s="164">
        <v>0.60299999999999998</v>
      </c>
      <c r="K128" s="172">
        <v>80000</v>
      </c>
      <c r="L128" s="164">
        <v>0.60299999999999998</v>
      </c>
      <c r="M128" s="165">
        <v>80000</v>
      </c>
    </row>
    <row r="129" spans="1:14" ht="14.25" customHeight="1" x14ac:dyDescent="0.2">
      <c r="A129" s="156">
        <v>1</v>
      </c>
      <c r="B129" s="162" t="s">
        <v>323</v>
      </c>
      <c r="C129" s="162" t="s">
        <v>539</v>
      </c>
      <c r="D129" s="163">
        <v>5934536</v>
      </c>
      <c r="E129" s="163">
        <v>996000</v>
      </c>
      <c r="F129" s="162" t="s">
        <v>162</v>
      </c>
      <c r="G129" s="162" t="s">
        <v>162</v>
      </c>
      <c r="H129" s="164">
        <v>0.50700000000000001</v>
      </c>
      <c r="I129" s="172">
        <v>48000</v>
      </c>
      <c r="J129" s="164">
        <v>0.50700000000000001</v>
      </c>
      <c r="K129" s="172">
        <v>48000</v>
      </c>
      <c r="L129" s="164">
        <v>0.50700000000000001</v>
      </c>
      <c r="M129" s="165">
        <v>48000</v>
      </c>
    </row>
    <row r="130" spans="1:14" ht="14.25" customHeight="1" x14ac:dyDescent="0.2">
      <c r="A130" s="156">
        <v>1</v>
      </c>
      <c r="B130" s="162" t="s">
        <v>479</v>
      </c>
      <c r="C130" s="162" t="s">
        <v>540</v>
      </c>
      <c r="D130" s="163">
        <v>5625919</v>
      </c>
      <c r="E130" s="163">
        <v>996000</v>
      </c>
      <c r="F130" s="162" t="s">
        <v>162</v>
      </c>
      <c r="G130" s="162" t="s">
        <v>162</v>
      </c>
      <c r="H130" s="164">
        <v>0.36499999999999999</v>
      </c>
      <c r="I130" s="172">
        <v>29000</v>
      </c>
      <c r="J130" s="164">
        <v>0.36499999999999999</v>
      </c>
      <c r="K130" s="172">
        <v>29000</v>
      </c>
      <c r="L130" s="164">
        <v>0.36499999999999999</v>
      </c>
      <c r="M130" s="165">
        <v>29000</v>
      </c>
    </row>
    <row r="131" spans="1:14" ht="14.25" customHeight="1" x14ac:dyDescent="0.2">
      <c r="A131" s="156">
        <v>1</v>
      </c>
      <c r="B131" s="162" t="s">
        <v>541</v>
      </c>
      <c r="C131" s="162" t="s">
        <v>542</v>
      </c>
      <c r="D131" s="163">
        <v>2013203</v>
      </c>
      <c r="E131" s="163">
        <v>996000</v>
      </c>
      <c r="F131" s="162" t="s">
        <v>162</v>
      </c>
      <c r="G131" s="162" t="s">
        <v>162</v>
      </c>
      <c r="H131" s="164">
        <v>0.42299999999999999</v>
      </c>
      <c r="I131" s="172">
        <v>36000</v>
      </c>
      <c r="J131" s="164">
        <v>0.42299999999999999</v>
      </c>
      <c r="K131" s="172">
        <v>36000</v>
      </c>
      <c r="L131" s="164">
        <v>0.42299999999999999</v>
      </c>
      <c r="M131" s="165">
        <v>36000</v>
      </c>
    </row>
    <row r="132" spans="1:14" ht="14.25" customHeight="1" x14ac:dyDescent="0.2">
      <c r="A132" s="156">
        <v>1</v>
      </c>
      <c r="B132" s="162" t="s">
        <v>333</v>
      </c>
      <c r="C132" s="162" t="s">
        <v>543</v>
      </c>
      <c r="D132" s="163">
        <v>5575110</v>
      </c>
      <c r="E132" s="163">
        <v>996000</v>
      </c>
      <c r="F132" s="162" t="s">
        <v>162</v>
      </c>
      <c r="G132" s="162" t="s">
        <v>162</v>
      </c>
      <c r="H132" s="164">
        <v>0.13</v>
      </c>
      <c r="I132" s="165">
        <v>30000</v>
      </c>
      <c r="J132" s="164">
        <v>0.13</v>
      </c>
      <c r="K132" s="165">
        <v>30000</v>
      </c>
      <c r="L132" s="164">
        <v>0.13</v>
      </c>
      <c r="M132" s="165">
        <v>30000</v>
      </c>
    </row>
    <row r="133" spans="1:14" ht="14.25" customHeight="1" x14ac:dyDescent="0.2">
      <c r="A133" s="156">
        <v>1</v>
      </c>
      <c r="B133" s="162" t="s">
        <v>541</v>
      </c>
      <c r="C133" s="162" t="s">
        <v>544</v>
      </c>
      <c r="D133" s="163">
        <v>5954395</v>
      </c>
      <c r="E133" s="163">
        <v>996000</v>
      </c>
      <c r="F133" s="162" t="s">
        <v>162</v>
      </c>
      <c r="G133" s="162" t="s">
        <v>162</v>
      </c>
      <c r="H133" s="164">
        <v>0.51</v>
      </c>
      <c r="I133" s="165">
        <v>70000</v>
      </c>
      <c r="J133" s="164">
        <v>0.51</v>
      </c>
      <c r="K133" s="165">
        <v>70000</v>
      </c>
      <c r="L133" s="164">
        <v>0.51</v>
      </c>
      <c r="M133" s="165">
        <v>70000</v>
      </c>
    </row>
    <row r="134" spans="1:14" ht="14.25" customHeight="1" x14ac:dyDescent="0.2">
      <c r="A134" s="156">
        <v>1</v>
      </c>
      <c r="B134" s="162" t="s">
        <v>390</v>
      </c>
      <c r="C134" s="162" t="s">
        <v>545</v>
      </c>
      <c r="D134" s="163">
        <v>5251624</v>
      </c>
      <c r="E134" s="163">
        <v>996000</v>
      </c>
      <c r="F134" s="162" t="s">
        <v>162</v>
      </c>
      <c r="G134" s="162" t="s">
        <v>162</v>
      </c>
      <c r="H134" s="164">
        <v>0.24</v>
      </c>
      <c r="I134" s="165">
        <v>30000</v>
      </c>
      <c r="J134" s="164">
        <v>0.24</v>
      </c>
      <c r="K134" s="165">
        <v>30000</v>
      </c>
      <c r="L134" s="164">
        <v>0.24</v>
      </c>
      <c r="M134" s="165">
        <v>30000</v>
      </c>
    </row>
    <row r="135" spans="1:14" ht="14.25" customHeight="1" x14ac:dyDescent="0.2">
      <c r="A135" s="156">
        <v>1</v>
      </c>
      <c r="B135" s="162" t="s">
        <v>352</v>
      </c>
      <c r="C135" s="162" t="s">
        <v>546</v>
      </c>
      <c r="D135" s="163">
        <v>5818955</v>
      </c>
      <c r="E135" s="163">
        <v>996000</v>
      </c>
      <c r="F135" s="162" t="s">
        <v>162</v>
      </c>
      <c r="G135" s="162" t="s">
        <v>162</v>
      </c>
      <c r="H135" s="164">
        <v>0.25</v>
      </c>
      <c r="I135" s="165">
        <v>17000</v>
      </c>
      <c r="J135" s="164">
        <v>0.25</v>
      </c>
      <c r="K135" s="165">
        <v>17000</v>
      </c>
      <c r="L135" s="164">
        <v>0.25</v>
      </c>
      <c r="M135" s="165">
        <v>17000</v>
      </c>
    </row>
    <row r="136" spans="1:14" ht="14.25" customHeight="1" x14ac:dyDescent="0.2">
      <c r="A136" s="156">
        <v>1</v>
      </c>
      <c r="B136" s="162" t="s">
        <v>547</v>
      </c>
      <c r="C136" s="162" t="s">
        <v>548</v>
      </c>
      <c r="D136" s="163">
        <v>5992863</v>
      </c>
      <c r="E136" s="163">
        <v>996000</v>
      </c>
      <c r="F136" s="162" t="s">
        <v>162</v>
      </c>
      <c r="G136" s="162" t="s">
        <v>162</v>
      </c>
      <c r="H136" s="164">
        <v>0.44</v>
      </c>
      <c r="I136" s="165">
        <f>274000+9000*5</f>
        <v>319000</v>
      </c>
      <c r="J136" s="164">
        <v>0.44</v>
      </c>
      <c r="K136" s="165">
        <f>9000*12</f>
        <v>108000</v>
      </c>
      <c r="L136" s="164">
        <v>0.44</v>
      </c>
      <c r="M136" s="165">
        <v>108000</v>
      </c>
    </row>
    <row r="137" spans="1:14" ht="14.25" customHeight="1" x14ac:dyDescent="0.2">
      <c r="A137" s="156">
        <v>1</v>
      </c>
      <c r="B137" s="162" t="s">
        <v>318</v>
      </c>
      <c r="C137" s="173" t="s">
        <v>549</v>
      </c>
      <c r="D137" s="175">
        <v>5043584</v>
      </c>
      <c r="E137" s="175">
        <v>996000</v>
      </c>
      <c r="F137" s="173" t="s">
        <v>162</v>
      </c>
      <c r="G137" s="173" t="s">
        <v>162</v>
      </c>
      <c r="H137" s="176">
        <v>0</v>
      </c>
      <c r="I137" s="177">
        <v>0</v>
      </c>
      <c r="J137" s="176">
        <v>0</v>
      </c>
      <c r="K137" s="177">
        <v>0</v>
      </c>
      <c r="L137" s="176">
        <v>0</v>
      </c>
      <c r="M137" s="165">
        <v>0</v>
      </c>
    </row>
    <row r="138" spans="1:14" ht="14.25" customHeight="1" x14ac:dyDescent="0.2">
      <c r="A138" s="156">
        <v>1</v>
      </c>
      <c r="B138" s="162" t="s">
        <v>526</v>
      </c>
      <c r="C138" s="162" t="s">
        <v>550</v>
      </c>
      <c r="D138" s="163">
        <v>9999999</v>
      </c>
      <c r="E138" s="163">
        <v>996000</v>
      </c>
      <c r="F138" s="162" t="s">
        <v>162</v>
      </c>
      <c r="G138" s="162" t="s">
        <v>162</v>
      </c>
      <c r="H138" s="164">
        <v>0.46</v>
      </c>
      <c r="I138" s="165">
        <v>54000</v>
      </c>
      <c r="J138" s="164">
        <v>0.46</v>
      </c>
      <c r="K138" s="165">
        <v>54000</v>
      </c>
      <c r="L138" s="164">
        <v>0.46</v>
      </c>
      <c r="M138" s="165">
        <v>54000</v>
      </c>
    </row>
    <row r="139" spans="1:14" ht="14.25" customHeight="1" x14ac:dyDescent="0.2">
      <c r="A139" s="156">
        <v>1</v>
      </c>
      <c r="B139" s="173" t="s">
        <v>445</v>
      </c>
      <c r="C139" s="173" t="s">
        <v>551</v>
      </c>
      <c r="D139" s="163">
        <v>5581656</v>
      </c>
      <c r="E139" s="163">
        <v>996000</v>
      </c>
      <c r="F139" s="162" t="s">
        <v>162</v>
      </c>
      <c r="G139" s="162" t="s">
        <v>162</v>
      </c>
      <c r="H139" s="164">
        <v>0.67</v>
      </c>
      <c r="I139" s="165">
        <f>108488+30000</f>
        <v>138488</v>
      </c>
      <c r="J139" s="164">
        <v>0.67</v>
      </c>
      <c r="K139" s="165">
        <v>60000</v>
      </c>
      <c r="L139" s="164">
        <v>0.67</v>
      </c>
      <c r="M139" s="165">
        <v>60000</v>
      </c>
    </row>
    <row r="140" spans="1:14" ht="14.25" customHeight="1" x14ac:dyDescent="0.2">
      <c r="A140" s="156">
        <v>1</v>
      </c>
      <c r="B140" s="162" t="s">
        <v>345</v>
      </c>
      <c r="C140" s="162" t="s">
        <v>552</v>
      </c>
      <c r="D140" s="163">
        <v>5091186</v>
      </c>
      <c r="E140" s="163">
        <v>996000</v>
      </c>
      <c r="F140" s="162" t="s">
        <v>162</v>
      </c>
      <c r="G140" s="162" t="s">
        <v>162</v>
      </c>
      <c r="H140" s="164">
        <v>0.13</v>
      </c>
      <c r="I140" s="165">
        <v>30000</v>
      </c>
      <c r="J140" s="164">
        <v>0</v>
      </c>
      <c r="K140" s="165">
        <v>0</v>
      </c>
      <c r="L140" s="164">
        <v>0</v>
      </c>
      <c r="M140" s="165">
        <v>0</v>
      </c>
    </row>
    <row r="141" spans="1:14" ht="14.25" customHeight="1" x14ac:dyDescent="0.2">
      <c r="A141" s="156">
        <v>1</v>
      </c>
      <c r="B141" s="162" t="s">
        <v>375</v>
      </c>
      <c r="C141" s="162" t="s">
        <v>376</v>
      </c>
      <c r="D141" s="163">
        <v>5517362</v>
      </c>
      <c r="E141" s="163">
        <v>621500</v>
      </c>
      <c r="F141" s="162" t="s">
        <v>114</v>
      </c>
      <c r="G141" s="162" t="s">
        <v>377</v>
      </c>
      <c r="H141" s="178"/>
      <c r="I141" s="204">
        <v>0</v>
      </c>
      <c r="J141" s="178">
        <v>0.7</v>
      </c>
      <c r="K141" s="182">
        <v>100000</v>
      </c>
      <c r="L141" s="178">
        <v>0.7</v>
      </c>
      <c r="M141" s="182">
        <v>100000</v>
      </c>
      <c r="N141" s="157">
        <v>0.7</v>
      </c>
    </row>
    <row r="142" spans="1:14" ht="14.25" customHeight="1" x14ac:dyDescent="0.2">
      <c r="A142" s="156">
        <v>1</v>
      </c>
      <c r="B142" s="162" t="s">
        <v>352</v>
      </c>
      <c r="C142" s="162" t="s">
        <v>553</v>
      </c>
      <c r="D142" s="163">
        <v>2346198</v>
      </c>
      <c r="E142" s="163">
        <v>996000</v>
      </c>
      <c r="F142" s="162" t="s">
        <v>162</v>
      </c>
      <c r="G142" s="162" t="s">
        <v>162</v>
      </c>
      <c r="H142" s="164"/>
      <c r="I142" s="165">
        <v>54000</v>
      </c>
      <c r="J142" s="164">
        <v>0.48</v>
      </c>
      <c r="K142" s="165">
        <v>54000</v>
      </c>
      <c r="L142" s="164">
        <v>0.48</v>
      </c>
      <c r="M142" s="165">
        <v>54000</v>
      </c>
      <c r="N142" s="157">
        <v>0.48</v>
      </c>
    </row>
    <row r="143" spans="1:14" ht="14.25" customHeight="1" x14ac:dyDescent="0.2">
      <c r="A143" s="156">
        <v>1</v>
      </c>
      <c r="B143" s="162" t="s">
        <v>554</v>
      </c>
      <c r="C143" s="162" t="s">
        <v>459</v>
      </c>
      <c r="D143" s="163">
        <v>9999999</v>
      </c>
      <c r="E143" s="163">
        <v>996000</v>
      </c>
      <c r="F143" s="162" t="s">
        <v>162</v>
      </c>
      <c r="G143" s="162" t="s">
        <v>555</v>
      </c>
      <c r="H143" s="164"/>
      <c r="I143" s="165">
        <v>0</v>
      </c>
      <c r="J143" s="164"/>
      <c r="K143" s="165">
        <v>0</v>
      </c>
      <c r="L143" s="164">
        <v>0.5</v>
      </c>
      <c r="M143" s="165">
        <v>40000</v>
      </c>
      <c r="N143" s="157">
        <v>0.5</v>
      </c>
    </row>
    <row r="144" spans="1:14" ht="14.25" customHeight="1" x14ac:dyDescent="0.2">
      <c r="A144" s="205"/>
      <c r="B144" s="173"/>
      <c r="C144" s="173"/>
      <c r="D144" s="175"/>
      <c r="E144" s="175"/>
      <c r="F144" s="173"/>
      <c r="G144" s="173" t="s">
        <v>556</v>
      </c>
      <c r="H144" s="176"/>
      <c r="I144" s="177"/>
      <c r="J144" s="176"/>
      <c r="K144" s="177"/>
      <c r="L144" s="176">
        <v>0.7</v>
      </c>
      <c r="M144" s="177">
        <v>60000</v>
      </c>
      <c r="N144" s="157">
        <v>0.7</v>
      </c>
    </row>
    <row r="145" spans="1:13" x14ac:dyDescent="0.2">
      <c r="A145" s="156">
        <v>1</v>
      </c>
      <c r="B145" s="162" t="s">
        <v>557</v>
      </c>
      <c r="C145" s="162" t="s">
        <v>162</v>
      </c>
      <c r="D145" s="163">
        <v>9999999</v>
      </c>
      <c r="E145" s="163">
        <v>996000</v>
      </c>
      <c r="F145" s="162" t="s">
        <v>162</v>
      </c>
      <c r="G145" s="162" t="s">
        <v>555</v>
      </c>
      <c r="H145" s="164">
        <v>0.5</v>
      </c>
      <c r="I145" s="165">
        <v>220000</v>
      </c>
      <c r="J145" s="164">
        <v>0.5</v>
      </c>
      <c r="K145" s="165">
        <v>260000</v>
      </c>
      <c r="L145" s="164">
        <v>0.5</v>
      </c>
      <c r="M145" s="165">
        <v>280000</v>
      </c>
    </row>
    <row r="146" spans="1:13" x14ac:dyDescent="0.2">
      <c r="A146" s="623" t="s">
        <v>558</v>
      </c>
      <c r="B146" s="623"/>
      <c r="C146" s="623"/>
      <c r="D146" s="169"/>
      <c r="E146" s="169"/>
      <c r="F146" s="168"/>
      <c r="G146" s="168"/>
      <c r="H146" s="185">
        <f>SUM(H81:H145)</f>
        <v>23.673000000000002</v>
      </c>
      <c r="I146" s="170">
        <f>SUM(I81:I145)</f>
        <v>3868488</v>
      </c>
      <c r="J146" s="185">
        <f>SUM(J81:J145)</f>
        <v>24.723000000000003</v>
      </c>
      <c r="K146" s="170">
        <f t="shared" ref="K146" si="21">SUM(K81:K145)</f>
        <v>3689000</v>
      </c>
      <c r="L146" s="185">
        <f>SUM(L81:L145)</f>
        <v>25.923000000000002</v>
      </c>
      <c r="M146" s="170">
        <f>SUM(M81:M145)</f>
        <v>3809000</v>
      </c>
    </row>
    <row r="147" spans="1:13" x14ac:dyDescent="0.2">
      <c r="A147" s="206">
        <v>1</v>
      </c>
      <c r="B147" s="206" t="s">
        <v>557</v>
      </c>
      <c r="C147" s="206" t="s">
        <v>559</v>
      </c>
      <c r="D147" s="206">
        <v>999999</v>
      </c>
      <c r="E147" s="206">
        <v>996000</v>
      </c>
      <c r="F147" s="206" t="s">
        <v>560</v>
      </c>
      <c r="G147" s="206" t="s">
        <v>557</v>
      </c>
      <c r="H147" s="206"/>
      <c r="I147" s="207">
        <v>970000</v>
      </c>
      <c r="J147" s="206"/>
      <c r="K147" s="207">
        <v>970000</v>
      </c>
      <c r="L147" s="206"/>
      <c r="M147" s="207">
        <v>300000</v>
      </c>
    </row>
    <row r="148" spans="1:13" s="211" customFormat="1" ht="18.75" x14ac:dyDescent="0.2">
      <c r="A148" s="624" t="s">
        <v>561</v>
      </c>
      <c r="B148" s="624"/>
      <c r="C148" s="624"/>
      <c r="D148" s="624"/>
      <c r="E148" s="624"/>
      <c r="F148" s="624"/>
      <c r="G148" s="208"/>
      <c r="H148" s="209"/>
      <c r="I148" s="210">
        <f>I5+I7+I9+I12+I21+I24+I26+I28+I33+I35+I37+I40+I42+I44+I48+I56+I58+I62+I64+I69+I74+I76+I80+I146+I147</f>
        <v>11559681</v>
      </c>
      <c r="J148" s="210"/>
      <c r="K148" s="210">
        <f t="shared" ref="K148:M148" si="22">K5+K7+K9+K12+K21+K24+K26+K28+K33+K35+K37+K40+K42+K44+K48+K56+K58+K62+K64+K69+K74+K76+K80+K146+K147</f>
        <v>10784043</v>
      </c>
      <c r="L148" s="210"/>
      <c r="M148" s="210">
        <f t="shared" si="22"/>
        <v>9867193</v>
      </c>
    </row>
  </sheetData>
  <mergeCells count="4">
    <mergeCell ref="A1:I1"/>
    <mergeCell ref="A2:I2"/>
    <mergeCell ref="A146:C146"/>
    <mergeCell ref="A148:F148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1"/>
  <sheetViews>
    <sheetView rightToLeft="1" topLeftCell="A176" workbookViewId="0">
      <selection activeCell="M183" sqref="M183"/>
    </sheetView>
  </sheetViews>
  <sheetFormatPr defaultColWidth="9.140625" defaultRowHeight="12.75" x14ac:dyDescent="0.2"/>
  <cols>
    <col min="1" max="1" width="8.5703125" style="278" customWidth="1"/>
    <col min="2" max="2" width="9.28515625" style="225" customWidth="1"/>
    <col min="3" max="4" width="9.140625" style="225" customWidth="1"/>
    <col min="5" max="5" width="7.28515625" style="225" customWidth="1"/>
    <col min="6" max="6" width="16.28515625" style="225" customWidth="1"/>
    <col min="7" max="7" width="19.85546875" style="225" customWidth="1"/>
    <col min="8" max="8" width="5.85546875" style="225" bestFit="1" customWidth="1"/>
    <col min="9" max="9" width="10.140625" style="279" bestFit="1" customWidth="1"/>
    <col min="10" max="10" width="10.140625" style="279" customWidth="1"/>
    <col min="11" max="11" width="10.140625" style="279" bestFit="1" customWidth="1"/>
    <col min="12" max="12" width="10.140625" style="279" customWidth="1"/>
    <col min="13" max="13" width="10.140625" style="279" bestFit="1" customWidth="1"/>
    <col min="14" max="16384" width="9.140625" style="225"/>
  </cols>
  <sheetData>
    <row r="1" spans="1:13" s="215" customFormat="1" ht="18.75" x14ac:dyDescent="0.2">
      <c r="A1" s="625" t="s">
        <v>306</v>
      </c>
      <c r="B1" s="625"/>
      <c r="C1" s="625"/>
      <c r="D1" s="625"/>
      <c r="E1" s="625"/>
      <c r="F1" s="625"/>
      <c r="G1" s="625"/>
      <c r="H1" s="625"/>
      <c r="I1" s="625"/>
      <c r="J1" s="213"/>
      <c r="K1" s="214"/>
      <c r="L1" s="214"/>
      <c r="M1" s="214"/>
    </row>
    <row r="2" spans="1:13" s="215" customFormat="1" ht="15.75" x14ac:dyDescent="0.2">
      <c r="A2" s="576" t="s">
        <v>562</v>
      </c>
      <c r="B2" s="576"/>
      <c r="C2" s="576"/>
      <c r="D2" s="576"/>
      <c r="E2" s="576"/>
      <c r="F2" s="576"/>
      <c r="G2" s="576"/>
      <c r="H2" s="576"/>
      <c r="I2" s="576"/>
      <c r="J2" s="152"/>
      <c r="K2" s="214"/>
      <c r="L2" s="214"/>
      <c r="M2" s="214"/>
    </row>
    <row r="3" spans="1:13" s="219" customFormat="1" x14ac:dyDescent="0.2">
      <c r="A3" s="216" t="s">
        <v>308</v>
      </c>
      <c r="B3" s="217" t="s">
        <v>563</v>
      </c>
      <c r="C3" s="217" t="s">
        <v>310</v>
      </c>
      <c r="D3" s="217" t="s">
        <v>311</v>
      </c>
      <c r="E3" s="217" t="s">
        <v>564</v>
      </c>
      <c r="F3" s="217" t="s">
        <v>565</v>
      </c>
      <c r="G3" s="217" t="s">
        <v>566</v>
      </c>
      <c r="H3" s="217" t="s">
        <v>567</v>
      </c>
      <c r="I3" s="218" t="s">
        <v>568</v>
      </c>
      <c r="J3" s="218" t="s">
        <v>569</v>
      </c>
      <c r="K3" s="218" t="s">
        <v>570</v>
      </c>
      <c r="L3" s="218" t="s">
        <v>571</v>
      </c>
      <c r="M3" s="218" t="s">
        <v>572</v>
      </c>
    </row>
    <row r="4" spans="1:13" x14ac:dyDescent="0.2">
      <c r="A4" s="220">
        <v>1</v>
      </c>
      <c r="B4" s="221" t="s">
        <v>318</v>
      </c>
      <c r="C4" s="221" t="s">
        <v>573</v>
      </c>
      <c r="D4" s="222">
        <v>5443083</v>
      </c>
      <c r="E4" s="222">
        <v>811000</v>
      </c>
      <c r="F4" s="221" t="s">
        <v>574</v>
      </c>
      <c r="G4" s="221" t="s">
        <v>575</v>
      </c>
      <c r="H4" s="223">
        <v>1</v>
      </c>
      <c r="I4" s="224">
        <v>300000</v>
      </c>
      <c r="J4" s="223">
        <v>1</v>
      </c>
      <c r="K4" s="224">
        <v>300000</v>
      </c>
      <c r="L4" s="223">
        <v>1</v>
      </c>
      <c r="M4" s="224">
        <v>220000</v>
      </c>
    </row>
    <row r="5" spans="1:13" x14ac:dyDescent="0.2">
      <c r="A5" s="226">
        <v>1</v>
      </c>
      <c r="B5" s="227" t="s">
        <v>576</v>
      </c>
      <c r="C5" s="227" t="s">
        <v>577</v>
      </c>
      <c r="D5" s="228">
        <v>2827928</v>
      </c>
      <c r="E5" s="228">
        <v>811000</v>
      </c>
      <c r="F5" s="227" t="s">
        <v>574</v>
      </c>
      <c r="G5" s="227" t="s">
        <v>578</v>
      </c>
      <c r="H5" s="229">
        <v>1</v>
      </c>
      <c r="I5" s="230">
        <v>160000</v>
      </c>
      <c r="J5" s="229">
        <v>1</v>
      </c>
      <c r="K5" s="230">
        <v>160000</v>
      </c>
      <c r="L5" s="229">
        <v>1</v>
      </c>
      <c r="M5" s="230">
        <v>160000</v>
      </c>
    </row>
    <row r="6" spans="1:13" x14ac:dyDescent="0.2">
      <c r="A6" s="231">
        <v>1</v>
      </c>
      <c r="B6" s="221" t="s">
        <v>526</v>
      </c>
      <c r="C6" s="221" t="s">
        <v>579</v>
      </c>
      <c r="D6" s="222">
        <v>4170918</v>
      </c>
      <c r="E6" s="222">
        <v>811000</v>
      </c>
      <c r="F6" s="221" t="s">
        <v>580</v>
      </c>
      <c r="G6" s="221" t="s">
        <v>581</v>
      </c>
      <c r="H6" s="223">
        <v>1</v>
      </c>
      <c r="I6" s="232">
        <v>88000</v>
      </c>
      <c r="J6" s="223">
        <v>1</v>
      </c>
      <c r="K6" s="232">
        <v>88000</v>
      </c>
      <c r="L6" s="223">
        <v>1</v>
      </c>
      <c r="M6" s="232">
        <v>88000</v>
      </c>
    </row>
    <row r="7" spans="1:13" s="219" customFormat="1" x14ac:dyDescent="0.2">
      <c r="A7" s="233"/>
      <c r="B7" s="234"/>
      <c r="C7" s="234"/>
      <c r="D7" s="234"/>
      <c r="E7" s="234"/>
      <c r="F7" s="234"/>
      <c r="G7" s="234"/>
      <c r="H7" s="234"/>
      <c r="I7" s="235">
        <f>SUM(I4:I6)</f>
        <v>548000</v>
      </c>
      <c r="J7" s="235"/>
      <c r="K7" s="235">
        <f t="shared" ref="K7:M7" si="0">SUM(K4:K6)</f>
        <v>548000</v>
      </c>
      <c r="L7" s="235"/>
      <c r="M7" s="235">
        <f t="shared" si="0"/>
        <v>468000</v>
      </c>
    </row>
    <row r="8" spans="1:13" x14ac:dyDescent="0.2">
      <c r="A8" s="231">
        <v>1</v>
      </c>
      <c r="B8" s="221" t="s">
        <v>582</v>
      </c>
      <c r="C8" s="221" t="s">
        <v>583</v>
      </c>
      <c r="D8" s="222">
        <v>2234672</v>
      </c>
      <c r="E8" s="222">
        <v>812200</v>
      </c>
      <c r="F8" s="221" t="s">
        <v>584</v>
      </c>
      <c r="G8" s="221" t="s">
        <v>585</v>
      </c>
      <c r="H8" s="223">
        <v>0.83</v>
      </c>
      <c r="I8" s="236">
        <v>81000</v>
      </c>
      <c r="J8" s="223">
        <v>0.83</v>
      </c>
      <c r="K8" s="236">
        <v>81000</v>
      </c>
      <c r="L8" s="223">
        <v>0.83</v>
      </c>
      <c r="M8" s="236">
        <v>81000</v>
      </c>
    </row>
    <row r="9" spans="1:13" x14ac:dyDescent="0.2">
      <c r="A9" s="231">
        <v>1</v>
      </c>
      <c r="B9" s="221" t="s">
        <v>586</v>
      </c>
      <c r="C9" s="221" t="s">
        <v>587</v>
      </c>
      <c r="D9" s="222">
        <v>2328691</v>
      </c>
      <c r="E9" s="222">
        <v>812200</v>
      </c>
      <c r="F9" s="221" t="s">
        <v>584</v>
      </c>
      <c r="G9" s="221" t="s">
        <v>585</v>
      </c>
      <c r="H9" s="223">
        <v>0.83</v>
      </c>
      <c r="I9" s="224">
        <v>89000</v>
      </c>
      <c r="J9" s="223">
        <v>0.83</v>
      </c>
      <c r="K9" s="224">
        <v>89000</v>
      </c>
      <c r="L9" s="223">
        <v>0.83</v>
      </c>
      <c r="M9" s="224">
        <v>89000</v>
      </c>
    </row>
    <row r="10" spans="1:13" x14ac:dyDescent="0.2">
      <c r="A10" s="231">
        <v>1</v>
      </c>
      <c r="B10" s="221" t="s">
        <v>588</v>
      </c>
      <c r="C10" s="221" t="s">
        <v>589</v>
      </c>
      <c r="D10" s="222">
        <v>2618870</v>
      </c>
      <c r="E10" s="222">
        <v>812200</v>
      </c>
      <c r="F10" s="221" t="s">
        <v>584</v>
      </c>
      <c r="G10" s="221" t="s">
        <v>585</v>
      </c>
      <c r="H10" s="223">
        <v>0.83</v>
      </c>
      <c r="I10" s="224">
        <v>85000</v>
      </c>
      <c r="J10" s="223">
        <v>0.83</v>
      </c>
      <c r="K10" s="224">
        <v>85000</v>
      </c>
      <c r="L10" s="223">
        <v>0.83</v>
      </c>
      <c r="M10" s="224">
        <v>85000</v>
      </c>
    </row>
    <row r="11" spans="1:13" x14ac:dyDescent="0.2">
      <c r="A11" s="231">
        <v>1</v>
      </c>
      <c r="B11" s="221" t="s">
        <v>532</v>
      </c>
      <c r="C11" s="221" t="s">
        <v>590</v>
      </c>
      <c r="D11" s="222">
        <v>2823141</v>
      </c>
      <c r="E11" s="222">
        <v>812200</v>
      </c>
      <c r="F11" s="221" t="s">
        <v>584</v>
      </c>
      <c r="G11" s="221" t="s">
        <v>585</v>
      </c>
      <c r="H11" s="223">
        <v>0.83</v>
      </c>
      <c r="I11" s="224">
        <v>88000</v>
      </c>
      <c r="J11" s="223">
        <v>0.83</v>
      </c>
      <c r="K11" s="224">
        <v>88000</v>
      </c>
      <c r="L11" s="223">
        <v>0.83</v>
      </c>
      <c r="M11" s="224">
        <v>88000</v>
      </c>
    </row>
    <row r="12" spans="1:13" x14ac:dyDescent="0.2">
      <c r="A12" s="231">
        <v>1</v>
      </c>
      <c r="B12" s="221" t="s">
        <v>591</v>
      </c>
      <c r="C12" s="221" t="s">
        <v>592</v>
      </c>
      <c r="D12" s="222">
        <v>2824458</v>
      </c>
      <c r="E12" s="222">
        <v>812200</v>
      </c>
      <c r="F12" s="221" t="s">
        <v>584</v>
      </c>
      <c r="G12" s="221" t="s">
        <v>585</v>
      </c>
      <c r="H12" s="223">
        <v>0.83</v>
      </c>
      <c r="I12" s="224">
        <v>86000</v>
      </c>
      <c r="J12" s="223">
        <v>0.83</v>
      </c>
      <c r="K12" s="224">
        <v>86000</v>
      </c>
      <c r="L12" s="223">
        <v>0.83</v>
      </c>
      <c r="M12" s="224">
        <v>86000</v>
      </c>
    </row>
    <row r="13" spans="1:13" x14ac:dyDescent="0.2">
      <c r="A13" s="231">
        <v>1</v>
      </c>
      <c r="B13" s="221" t="s">
        <v>526</v>
      </c>
      <c r="C13" s="221" t="s">
        <v>593</v>
      </c>
      <c r="D13" s="222">
        <v>2827538</v>
      </c>
      <c r="E13" s="222">
        <v>812200</v>
      </c>
      <c r="F13" s="221" t="s">
        <v>584</v>
      </c>
      <c r="G13" s="221" t="s">
        <v>585</v>
      </c>
      <c r="H13" s="223">
        <v>0.83</v>
      </c>
      <c r="I13" s="224">
        <v>99000</v>
      </c>
      <c r="J13" s="223">
        <v>0.83</v>
      </c>
      <c r="K13" s="224">
        <v>99000</v>
      </c>
      <c r="L13" s="223">
        <v>0.83</v>
      </c>
      <c r="M13" s="224">
        <v>99000</v>
      </c>
    </row>
    <row r="14" spans="1:13" x14ac:dyDescent="0.2">
      <c r="A14" s="231">
        <v>1</v>
      </c>
      <c r="B14" s="221" t="s">
        <v>341</v>
      </c>
      <c r="C14" s="221" t="s">
        <v>594</v>
      </c>
      <c r="D14" s="222">
        <v>2921221</v>
      </c>
      <c r="E14" s="222">
        <v>812200</v>
      </c>
      <c r="F14" s="221" t="s">
        <v>584</v>
      </c>
      <c r="G14" s="221" t="s">
        <v>585</v>
      </c>
      <c r="H14" s="223">
        <v>0.83</v>
      </c>
      <c r="I14" s="224">
        <v>95000</v>
      </c>
      <c r="J14" s="223">
        <v>0.83</v>
      </c>
      <c r="K14" s="224">
        <v>95000</v>
      </c>
      <c r="L14" s="223">
        <v>0.83</v>
      </c>
      <c r="M14" s="224">
        <v>95000</v>
      </c>
    </row>
    <row r="15" spans="1:13" x14ac:dyDescent="0.2">
      <c r="A15" s="231">
        <v>1</v>
      </c>
      <c r="B15" s="221" t="s">
        <v>595</v>
      </c>
      <c r="C15" s="221" t="s">
        <v>596</v>
      </c>
      <c r="D15" s="222">
        <v>2996880</v>
      </c>
      <c r="E15" s="222">
        <v>812200</v>
      </c>
      <c r="F15" s="221" t="s">
        <v>584</v>
      </c>
      <c r="G15" s="221" t="s">
        <v>585</v>
      </c>
      <c r="H15" s="223">
        <v>0.83</v>
      </c>
      <c r="I15" s="224">
        <v>79000</v>
      </c>
      <c r="J15" s="223">
        <v>0.83</v>
      </c>
      <c r="K15" s="224">
        <v>79000</v>
      </c>
      <c r="L15" s="223">
        <v>0.83</v>
      </c>
      <c r="M15" s="224">
        <v>79000</v>
      </c>
    </row>
    <row r="16" spans="1:13" x14ac:dyDescent="0.2">
      <c r="A16" s="231">
        <v>1</v>
      </c>
      <c r="B16" s="221" t="s">
        <v>318</v>
      </c>
      <c r="C16" s="221" t="s">
        <v>498</v>
      </c>
      <c r="D16" s="222">
        <v>3443238</v>
      </c>
      <c r="E16" s="222">
        <v>812200</v>
      </c>
      <c r="F16" s="221" t="s">
        <v>584</v>
      </c>
      <c r="G16" s="221" t="s">
        <v>585</v>
      </c>
      <c r="H16" s="223">
        <v>0.83</v>
      </c>
      <c r="I16" s="224">
        <v>89000</v>
      </c>
      <c r="J16" s="223">
        <v>0.83</v>
      </c>
      <c r="K16" s="224">
        <v>89000</v>
      </c>
      <c r="L16" s="223">
        <v>0.83</v>
      </c>
      <c r="M16" s="224">
        <v>89000</v>
      </c>
    </row>
    <row r="17" spans="1:13" x14ac:dyDescent="0.2">
      <c r="A17" s="231">
        <v>1</v>
      </c>
      <c r="B17" s="221" t="s">
        <v>597</v>
      </c>
      <c r="C17" s="221" t="s">
        <v>598</v>
      </c>
      <c r="D17" s="222">
        <v>3452404</v>
      </c>
      <c r="E17" s="222">
        <v>812200</v>
      </c>
      <c r="F17" s="221" t="s">
        <v>584</v>
      </c>
      <c r="G17" s="221" t="s">
        <v>585</v>
      </c>
      <c r="H17" s="223">
        <v>0.83</v>
      </c>
      <c r="I17" s="224">
        <v>97000</v>
      </c>
      <c r="J17" s="223">
        <v>0.83</v>
      </c>
      <c r="K17" s="224">
        <v>97000</v>
      </c>
      <c r="L17" s="223">
        <v>0.83</v>
      </c>
      <c r="M17" s="224">
        <v>97000</v>
      </c>
    </row>
    <row r="18" spans="1:13" x14ac:dyDescent="0.2">
      <c r="A18" s="231">
        <v>1</v>
      </c>
      <c r="B18" s="221" t="s">
        <v>599</v>
      </c>
      <c r="C18" s="221" t="s">
        <v>600</v>
      </c>
      <c r="D18" s="222">
        <v>3644372</v>
      </c>
      <c r="E18" s="222">
        <v>812200</v>
      </c>
      <c r="F18" s="221" t="s">
        <v>584</v>
      </c>
      <c r="G18" s="221" t="s">
        <v>585</v>
      </c>
      <c r="H18" s="223">
        <v>0.83</v>
      </c>
      <c r="I18" s="224">
        <v>98000</v>
      </c>
      <c r="J18" s="223">
        <v>0.83</v>
      </c>
      <c r="K18" s="224">
        <v>98000</v>
      </c>
      <c r="L18" s="223">
        <v>0.83</v>
      </c>
      <c r="M18" s="224">
        <v>98000</v>
      </c>
    </row>
    <row r="19" spans="1:13" x14ac:dyDescent="0.2">
      <c r="A19" s="231">
        <v>1</v>
      </c>
      <c r="B19" s="221" t="s">
        <v>601</v>
      </c>
      <c r="C19" s="221" t="s">
        <v>602</v>
      </c>
      <c r="D19" s="222">
        <v>5371560</v>
      </c>
      <c r="E19" s="222">
        <v>812200</v>
      </c>
      <c r="F19" s="221" t="s">
        <v>584</v>
      </c>
      <c r="G19" s="221" t="s">
        <v>585</v>
      </c>
      <c r="H19" s="223">
        <v>0.83</v>
      </c>
      <c r="I19" s="224">
        <v>81000</v>
      </c>
      <c r="J19" s="223">
        <v>0.83</v>
      </c>
      <c r="K19" s="224">
        <v>81000</v>
      </c>
      <c r="L19" s="223">
        <v>0.83</v>
      </c>
      <c r="M19" s="224">
        <v>81000</v>
      </c>
    </row>
    <row r="20" spans="1:13" x14ac:dyDescent="0.2">
      <c r="A20" s="231">
        <v>1</v>
      </c>
      <c r="B20" s="221" t="s">
        <v>603</v>
      </c>
      <c r="C20" s="221" t="s">
        <v>604</v>
      </c>
      <c r="D20" s="222">
        <v>5631585</v>
      </c>
      <c r="E20" s="222">
        <v>812200</v>
      </c>
      <c r="F20" s="221" t="s">
        <v>584</v>
      </c>
      <c r="G20" s="221" t="s">
        <v>585</v>
      </c>
      <c r="H20" s="223">
        <v>0.83</v>
      </c>
      <c r="I20" s="224">
        <v>94000</v>
      </c>
      <c r="J20" s="223">
        <v>0.83</v>
      </c>
      <c r="K20" s="224">
        <v>94000</v>
      </c>
      <c r="L20" s="223">
        <v>0.83</v>
      </c>
      <c r="M20" s="224">
        <v>94000</v>
      </c>
    </row>
    <row r="21" spans="1:13" x14ac:dyDescent="0.2">
      <c r="A21" s="231">
        <v>1</v>
      </c>
      <c r="B21" s="221" t="s">
        <v>554</v>
      </c>
      <c r="C21" s="221" t="s">
        <v>605</v>
      </c>
      <c r="D21" s="222">
        <v>5692004</v>
      </c>
      <c r="E21" s="222">
        <v>812200</v>
      </c>
      <c r="F21" s="221" t="s">
        <v>584</v>
      </c>
      <c r="G21" s="221" t="s">
        <v>585</v>
      </c>
      <c r="H21" s="223">
        <v>0.83</v>
      </c>
      <c r="I21" s="224">
        <v>79000</v>
      </c>
      <c r="J21" s="223">
        <v>0.83</v>
      </c>
      <c r="K21" s="224">
        <v>79000</v>
      </c>
      <c r="L21" s="223">
        <v>0.83</v>
      </c>
      <c r="M21" s="224">
        <v>79000</v>
      </c>
    </row>
    <row r="22" spans="1:13" x14ac:dyDescent="0.2">
      <c r="A22" s="231">
        <v>1</v>
      </c>
      <c r="B22" s="221" t="s">
        <v>606</v>
      </c>
      <c r="C22" s="221" t="s">
        <v>607</v>
      </c>
      <c r="D22" s="222">
        <v>5698805</v>
      </c>
      <c r="E22" s="222">
        <v>812200</v>
      </c>
      <c r="F22" s="221" t="s">
        <v>584</v>
      </c>
      <c r="G22" s="221" t="s">
        <v>585</v>
      </c>
      <c r="H22" s="223">
        <v>0.83</v>
      </c>
      <c r="I22" s="224">
        <v>92000</v>
      </c>
      <c r="J22" s="223">
        <v>0.83</v>
      </c>
      <c r="K22" s="224">
        <v>92000</v>
      </c>
      <c r="L22" s="223">
        <v>0.83</v>
      </c>
      <c r="M22" s="224">
        <v>92000</v>
      </c>
    </row>
    <row r="23" spans="1:13" x14ac:dyDescent="0.2">
      <c r="A23" s="231">
        <v>1</v>
      </c>
      <c r="B23" s="221" t="s">
        <v>541</v>
      </c>
      <c r="C23" s="221" t="s">
        <v>503</v>
      </c>
      <c r="D23" s="222">
        <v>5854289</v>
      </c>
      <c r="E23" s="222">
        <v>812200</v>
      </c>
      <c r="F23" s="221" t="s">
        <v>584</v>
      </c>
      <c r="G23" s="221" t="s">
        <v>585</v>
      </c>
      <c r="H23" s="223">
        <v>0.83</v>
      </c>
      <c r="I23" s="224">
        <v>84000</v>
      </c>
      <c r="J23" s="223">
        <v>0.83</v>
      </c>
      <c r="K23" s="224">
        <v>84000</v>
      </c>
      <c r="L23" s="223">
        <v>0.83</v>
      </c>
      <c r="M23" s="224">
        <v>84000</v>
      </c>
    </row>
    <row r="24" spans="1:13" x14ac:dyDescent="0.2">
      <c r="A24" s="231">
        <v>1</v>
      </c>
      <c r="B24" s="221" t="s">
        <v>382</v>
      </c>
      <c r="C24" s="221" t="s">
        <v>608</v>
      </c>
      <c r="D24" s="222">
        <v>5931960</v>
      </c>
      <c r="E24" s="222">
        <v>812200</v>
      </c>
      <c r="F24" s="221" t="s">
        <v>584</v>
      </c>
      <c r="G24" s="221" t="s">
        <v>585</v>
      </c>
      <c r="H24" s="223">
        <v>0.83</v>
      </c>
      <c r="I24" s="224">
        <v>98000</v>
      </c>
      <c r="J24" s="223">
        <v>0.83</v>
      </c>
      <c r="K24" s="224">
        <v>98000</v>
      </c>
      <c r="L24" s="223">
        <v>0.83</v>
      </c>
      <c r="M24" s="224">
        <v>98000</v>
      </c>
    </row>
    <row r="25" spans="1:13" x14ac:dyDescent="0.2">
      <c r="A25" s="231">
        <v>1</v>
      </c>
      <c r="B25" s="221" t="s">
        <v>318</v>
      </c>
      <c r="C25" s="221" t="s">
        <v>609</v>
      </c>
      <c r="D25" s="222">
        <v>5859254</v>
      </c>
      <c r="E25" s="222">
        <v>812200</v>
      </c>
      <c r="F25" s="221" t="s">
        <v>584</v>
      </c>
      <c r="G25" s="221" t="s">
        <v>585</v>
      </c>
      <c r="H25" s="223">
        <v>0.83</v>
      </c>
      <c r="I25" s="224">
        <v>72000</v>
      </c>
      <c r="J25" s="223">
        <v>0.83</v>
      </c>
      <c r="K25" s="224">
        <v>72000</v>
      </c>
      <c r="L25" s="223">
        <v>0.83</v>
      </c>
      <c r="M25" s="224">
        <v>72000</v>
      </c>
    </row>
    <row r="26" spans="1:13" x14ac:dyDescent="0.2">
      <c r="A26" s="231">
        <v>1</v>
      </c>
      <c r="B26" s="221" t="s">
        <v>610</v>
      </c>
      <c r="C26" s="221" t="s">
        <v>611</v>
      </c>
      <c r="D26" s="222">
        <v>3292292</v>
      </c>
      <c r="E26" s="222">
        <v>812200</v>
      </c>
      <c r="F26" s="221" t="s">
        <v>584</v>
      </c>
      <c r="G26" s="221" t="s">
        <v>585</v>
      </c>
      <c r="H26" s="223" t="s">
        <v>419</v>
      </c>
      <c r="I26" s="224">
        <v>60000</v>
      </c>
      <c r="J26" s="223" t="s">
        <v>419</v>
      </c>
      <c r="K26" s="224">
        <v>60000</v>
      </c>
      <c r="L26" s="223" t="s">
        <v>419</v>
      </c>
      <c r="M26" s="224">
        <v>60000</v>
      </c>
    </row>
    <row r="27" spans="1:13" x14ac:dyDescent="0.2">
      <c r="A27" s="231">
        <v>1</v>
      </c>
      <c r="B27" s="221" t="s">
        <v>610</v>
      </c>
      <c r="C27" s="221" t="s">
        <v>612</v>
      </c>
      <c r="D27" s="222">
        <v>3945702</v>
      </c>
      <c r="E27" s="222">
        <v>812200</v>
      </c>
      <c r="F27" s="221" t="s">
        <v>584</v>
      </c>
      <c r="G27" s="221" t="s">
        <v>613</v>
      </c>
      <c r="H27" s="223" t="s">
        <v>419</v>
      </c>
      <c r="I27" s="224">
        <v>60000</v>
      </c>
      <c r="J27" s="223" t="s">
        <v>419</v>
      </c>
      <c r="K27" s="224">
        <v>60000</v>
      </c>
      <c r="L27" s="223" t="s">
        <v>419</v>
      </c>
      <c r="M27" s="224">
        <v>60000</v>
      </c>
    </row>
    <row r="28" spans="1:13" x14ac:dyDescent="0.2">
      <c r="A28" s="231">
        <v>1</v>
      </c>
      <c r="B28" s="237" t="s">
        <v>510</v>
      </c>
      <c r="C28" s="237" t="s">
        <v>511</v>
      </c>
      <c r="D28" s="238">
        <v>5938514</v>
      </c>
      <c r="E28" s="238">
        <v>812200</v>
      </c>
      <c r="F28" s="221" t="s">
        <v>584</v>
      </c>
      <c r="G28" s="221" t="s">
        <v>613</v>
      </c>
      <c r="H28" s="239" t="s">
        <v>419</v>
      </c>
      <c r="I28" s="224">
        <v>60000</v>
      </c>
      <c r="J28" s="239" t="s">
        <v>419</v>
      </c>
      <c r="K28" s="224">
        <v>60000</v>
      </c>
      <c r="L28" s="239" t="s">
        <v>419</v>
      </c>
      <c r="M28" s="224">
        <v>60000</v>
      </c>
    </row>
    <row r="29" spans="1:13" x14ac:dyDescent="0.2">
      <c r="A29" s="231">
        <v>1</v>
      </c>
      <c r="B29" s="237" t="s">
        <v>541</v>
      </c>
      <c r="C29" s="237" t="s">
        <v>614</v>
      </c>
      <c r="D29" s="238">
        <v>25879008</v>
      </c>
      <c r="E29" s="238">
        <v>812200</v>
      </c>
      <c r="F29" s="237" t="s">
        <v>584</v>
      </c>
      <c r="G29" s="237" t="s">
        <v>613</v>
      </c>
      <c r="H29" s="239" t="s">
        <v>419</v>
      </c>
      <c r="I29" s="224">
        <v>60000</v>
      </c>
      <c r="J29" s="239" t="s">
        <v>419</v>
      </c>
      <c r="K29" s="224">
        <v>60000</v>
      </c>
      <c r="L29" s="239" t="s">
        <v>419</v>
      </c>
      <c r="M29" s="224">
        <v>60000</v>
      </c>
    </row>
    <row r="30" spans="1:13" x14ac:dyDescent="0.2">
      <c r="A30" s="231">
        <v>1</v>
      </c>
      <c r="B30" s="221" t="s">
        <v>615</v>
      </c>
      <c r="C30" s="221" t="s">
        <v>616</v>
      </c>
      <c r="D30" s="222">
        <v>2616472</v>
      </c>
      <c r="E30" s="238">
        <v>812200</v>
      </c>
      <c r="F30" s="237" t="s">
        <v>584</v>
      </c>
      <c r="G30" s="221" t="s">
        <v>613</v>
      </c>
      <c r="H30" s="223" t="s">
        <v>419</v>
      </c>
      <c r="I30" s="224">
        <v>60000</v>
      </c>
      <c r="J30" s="223" t="s">
        <v>419</v>
      </c>
      <c r="K30" s="224">
        <v>60000</v>
      </c>
      <c r="L30" s="223" t="s">
        <v>419</v>
      </c>
      <c r="M30" s="224">
        <v>60000</v>
      </c>
    </row>
    <row r="31" spans="1:13" x14ac:dyDescent="0.2">
      <c r="A31" s="231">
        <v>1</v>
      </c>
      <c r="B31" s="221" t="s">
        <v>617</v>
      </c>
      <c r="C31" s="221" t="s">
        <v>618</v>
      </c>
      <c r="D31" s="222">
        <v>4093593</v>
      </c>
      <c r="E31" s="238">
        <v>812200</v>
      </c>
      <c r="F31" s="237" t="s">
        <v>584</v>
      </c>
      <c r="G31" s="221" t="s">
        <v>613</v>
      </c>
      <c r="H31" s="223" t="s">
        <v>419</v>
      </c>
      <c r="I31" s="224">
        <v>60000</v>
      </c>
      <c r="J31" s="223" t="s">
        <v>419</v>
      </c>
      <c r="K31" s="224">
        <v>60000</v>
      </c>
      <c r="L31" s="223" t="s">
        <v>419</v>
      </c>
      <c r="M31" s="224">
        <v>60000</v>
      </c>
    </row>
    <row r="32" spans="1:13" x14ac:dyDescent="0.2">
      <c r="A32" s="231">
        <v>1</v>
      </c>
      <c r="B32" s="221" t="s">
        <v>619</v>
      </c>
      <c r="C32" s="221" t="s">
        <v>620</v>
      </c>
      <c r="D32" s="222">
        <v>30017481</v>
      </c>
      <c r="E32" s="238">
        <v>812200</v>
      </c>
      <c r="F32" s="237" t="s">
        <v>584</v>
      </c>
      <c r="G32" s="221" t="s">
        <v>613</v>
      </c>
      <c r="H32" s="223" t="s">
        <v>419</v>
      </c>
      <c r="I32" s="224">
        <v>60000</v>
      </c>
      <c r="J32" s="223" t="s">
        <v>419</v>
      </c>
      <c r="K32" s="224">
        <v>60000</v>
      </c>
      <c r="L32" s="223" t="s">
        <v>419</v>
      </c>
      <c r="M32" s="224">
        <v>60000</v>
      </c>
    </row>
    <row r="33" spans="1:16" x14ac:dyDescent="0.2">
      <c r="A33" s="231">
        <v>1</v>
      </c>
      <c r="B33" s="221" t="s">
        <v>510</v>
      </c>
      <c r="C33" s="221" t="s">
        <v>621</v>
      </c>
      <c r="D33" s="222">
        <v>4052129</v>
      </c>
      <c r="E33" s="238">
        <v>812200</v>
      </c>
      <c r="F33" s="237" t="s">
        <v>584</v>
      </c>
      <c r="G33" s="221" t="s">
        <v>613</v>
      </c>
      <c r="H33" s="223" t="s">
        <v>419</v>
      </c>
      <c r="I33" s="224">
        <v>60000</v>
      </c>
      <c r="J33" s="223" t="s">
        <v>419</v>
      </c>
      <c r="K33" s="224">
        <v>60000</v>
      </c>
      <c r="L33" s="223" t="s">
        <v>419</v>
      </c>
      <c r="M33" s="224">
        <v>60000</v>
      </c>
    </row>
    <row r="34" spans="1:16" x14ac:dyDescent="0.2">
      <c r="A34" s="231">
        <v>1</v>
      </c>
      <c r="B34" s="221" t="s">
        <v>622</v>
      </c>
      <c r="C34" s="221" t="s">
        <v>623</v>
      </c>
      <c r="D34" s="222">
        <v>5576214</v>
      </c>
      <c r="E34" s="238">
        <v>812200</v>
      </c>
      <c r="F34" s="237" t="s">
        <v>584</v>
      </c>
      <c r="G34" s="221" t="s">
        <v>613</v>
      </c>
      <c r="H34" s="223" t="s">
        <v>419</v>
      </c>
      <c r="I34" s="224">
        <v>70000</v>
      </c>
      <c r="J34" s="223" t="s">
        <v>419</v>
      </c>
      <c r="K34" s="224">
        <v>70000</v>
      </c>
      <c r="L34" s="223" t="s">
        <v>419</v>
      </c>
      <c r="M34" s="224">
        <v>70000</v>
      </c>
    </row>
    <row r="35" spans="1:16" x14ac:dyDescent="0.2">
      <c r="A35" s="231">
        <v>1</v>
      </c>
      <c r="B35" s="221" t="s">
        <v>352</v>
      </c>
      <c r="C35" s="221" t="s">
        <v>624</v>
      </c>
      <c r="D35" s="222">
        <v>3457700</v>
      </c>
      <c r="E35" s="238">
        <v>812200</v>
      </c>
      <c r="F35" s="237" t="s">
        <v>584</v>
      </c>
      <c r="G35" s="221" t="s">
        <v>613</v>
      </c>
      <c r="H35" s="223" t="s">
        <v>419</v>
      </c>
      <c r="I35" s="224">
        <v>60000</v>
      </c>
      <c r="J35" s="223" t="s">
        <v>419</v>
      </c>
      <c r="K35" s="224">
        <v>60000</v>
      </c>
      <c r="L35" s="223" t="s">
        <v>419</v>
      </c>
      <c r="M35" s="224">
        <v>60000</v>
      </c>
    </row>
    <row r="36" spans="1:16" s="245" customFormat="1" x14ac:dyDescent="0.2">
      <c r="A36" s="240"/>
      <c r="B36" s="241"/>
      <c r="C36" s="241"/>
      <c r="D36" s="242"/>
      <c r="E36" s="242"/>
      <c r="F36" s="241"/>
      <c r="G36" s="241"/>
      <c r="H36" s="243"/>
      <c r="I36" s="244">
        <f>SUM(I8:I35)</f>
        <v>2196000</v>
      </c>
      <c r="J36" s="244"/>
      <c r="K36" s="244">
        <f t="shared" ref="K36:M36" si="1">SUM(K8:K35)</f>
        <v>2196000</v>
      </c>
      <c r="L36" s="244"/>
      <c r="M36" s="244">
        <f t="shared" si="1"/>
        <v>2196000</v>
      </c>
    </row>
    <row r="37" spans="1:16" x14ac:dyDescent="0.2">
      <c r="A37" s="231">
        <v>1</v>
      </c>
      <c r="B37" s="221" t="s">
        <v>526</v>
      </c>
      <c r="C37" s="221" t="s">
        <v>625</v>
      </c>
      <c r="D37" s="222">
        <v>2597378</v>
      </c>
      <c r="E37" s="222">
        <v>812201</v>
      </c>
      <c r="F37" s="221" t="s">
        <v>626</v>
      </c>
      <c r="G37" s="221" t="s">
        <v>585</v>
      </c>
      <c r="H37" s="223" t="s">
        <v>419</v>
      </c>
      <c r="I37" s="224">
        <v>42000</v>
      </c>
      <c r="J37" s="223" t="s">
        <v>419</v>
      </c>
      <c r="K37" s="224">
        <v>42000</v>
      </c>
      <c r="L37" s="223" t="s">
        <v>419</v>
      </c>
      <c r="M37" s="224">
        <v>42000</v>
      </c>
      <c r="N37"/>
      <c r="P37"/>
    </row>
    <row r="38" spans="1:16" x14ac:dyDescent="0.2">
      <c r="A38" s="231">
        <v>1</v>
      </c>
      <c r="B38" s="221" t="s">
        <v>601</v>
      </c>
      <c r="C38" s="221" t="s">
        <v>627</v>
      </c>
      <c r="D38" s="222">
        <v>2750519</v>
      </c>
      <c r="E38" s="222">
        <v>812201</v>
      </c>
      <c r="F38" s="221" t="s">
        <v>626</v>
      </c>
      <c r="G38" s="221" t="s">
        <v>585</v>
      </c>
      <c r="H38" s="223" t="s">
        <v>419</v>
      </c>
      <c r="I38" s="224">
        <v>38000</v>
      </c>
      <c r="J38" s="223" t="s">
        <v>419</v>
      </c>
      <c r="K38" s="224">
        <v>38000</v>
      </c>
      <c r="L38" s="223" t="s">
        <v>419</v>
      </c>
      <c r="M38" s="224">
        <v>38000</v>
      </c>
      <c r="N38"/>
      <c r="P38"/>
    </row>
    <row r="39" spans="1:16" x14ac:dyDescent="0.2">
      <c r="A39" s="231">
        <v>1</v>
      </c>
      <c r="B39" s="221" t="s">
        <v>628</v>
      </c>
      <c r="C39" s="221" t="s">
        <v>629</v>
      </c>
      <c r="D39" s="222">
        <v>5703154</v>
      </c>
      <c r="E39" s="222">
        <v>812201</v>
      </c>
      <c r="F39" s="221" t="s">
        <v>626</v>
      </c>
      <c r="G39" s="221" t="s">
        <v>585</v>
      </c>
      <c r="H39" s="223" t="s">
        <v>419</v>
      </c>
      <c r="I39" s="224">
        <v>48000</v>
      </c>
      <c r="J39" s="223" t="s">
        <v>419</v>
      </c>
      <c r="K39" s="224">
        <v>48000</v>
      </c>
      <c r="L39" s="223" t="s">
        <v>419</v>
      </c>
      <c r="M39" s="224">
        <v>48000</v>
      </c>
      <c r="N39"/>
      <c r="P39"/>
    </row>
    <row r="40" spans="1:16" x14ac:dyDescent="0.2">
      <c r="A40" s="231">
        <v>1</v>
      </c>
      <c r="B40" s="221" t="s">
        <v>603</v>
      </c>
      <c r="C40" s="221" t="s">
        <v>630</v>
      </c>
      <c r="D40" s="222">
        <v>2996822</v>
      </c>
      <c r="E40" s="222">
        <v>812201</v>
      </c>
      <c r="F40" s="221" t="s">
        <v>631</v>
      </c>
      <c r="G40" s="221" t="s">
        <v>585</v>
      </c>
      <c r="H40" s="223" t="s">
        <v>419</v>
      </c>
      <c r="I40" s="224">
        <v>48000</v>
      </c>
      <c r="J40" s="223" t="s">
        <v>419</v>
      </c>
      <c r="K40" s="224">
        <v>48000</v>
      </c>
      <c r="L40" s="223" t="s">
        <v>419</v>
      </c>
      <c r="M40" s="224">
        <v>48000</v>
      </c>
      <c r="N40"/>
      <c r="P40"/>
    </row>
    <row r="41" spans="1:16" x14ac:dyDescent="0.2">
      <c r="A41" s="231">
        <v>1</v>
      </c>
      <c r="B41" s="221" t="s">
        <v>532</v>
      </c>
      <c r="C41" s="221" t="s">
        <v>632</v>
      </c>
      <c r="D41" s="222">
        <v>30172477</v>
      </c>
      <c r="E41" s="222">
        <v>812201</v>
      </c>
      <c r="F41" s="246" t="s">
        <v>633</v>
      </c>
      <c r="G41" s="221" t="s">
        <v>585</v>
      </c>
      <c r="H41" s="223" t="s">
        <v>419</v>
      </c>
      <c r="I41" s="224">
        <v>40000</v>
      </c>
      <c r="J41" s="223" t="s">
        <v>419</v>
      </c>
      <c r="K41" s="224">
        <v>40000</v>
      </c>
      <c r="L41" s="223" t="s">
        <v>419</v>
      </c>
      <c r="M41" s="224">
        <v>40000</v>
      </c>
      <c r="N41"/>
      <c r="P41"/>
    </row>
    <row r="42" spans="1:16" x14ac:dyDescent="0.2">
      <c r="A42" s="231">
        <v>1</v>
      </c>
      <c r="B42" s="221" t="s">
        <v>634</v>
      </c>
      <c r="C42" s="221" t="s">
        <v>635</v>
      </c>
      <c r="D42" s="222">
        <v>30305092</v>
      </c>
      <c r="E42" s="222">
        <v>812201</v>
      </c>
      <c r="F42" s="221" t="s">
        <v>636</v>
      </c>
      <c r="G42" s="221" t="s">
        <v>585</v>
      </c>
      <c r="H42" s="223" t="s">
        <v>419</v>
      </c>
      <c r="I42" s="224">
        <v>36000</v>
      </c>
      <c r="J42" s="223" t="s">
        <v>419</v>
      </c>
      <c r="K42" s="224">
        <v>36000</v>
      </c>
      <c r="L42" s="223" t="s">
        <v>419</v>
      </c>
      <c r="M42" s="224">
        <v>36000</v>
      </c>
      <c r="N42"/>
      <c r="P42"/>
    </row>
    <row r="43" spans="1:16" x14ac:dyDescent="0.2">
      <c r="A43" s="231">
        <v>1</v>
      </c>
      <c r="B43" s="221" t="s">
        <v>365</v>
      </c>
      <c r="C43" s="221" t="s">
        <v>637</v>
      </c>
      <c r="D43" s="222">
        <v>40084436</v>
      </c>
      <c r="E43" s="222">
        <v>812201</v>
      </c>
      <c r="F43" s="221" t="s">
        <v>636</v>
      </c>
      <c r="G43" s="221" t="s">
        <v>638</v>
      </c>
      <c r="H43" s="223" t="s">
        <v>419</v>
      </c>
      <c r="I43" s="224">
        <v>45000</v>
      </c>
      <c r="J43" s="223" t="s">
        <v>419</v>
      </c>
      <c r="K43" s="224">
        <v>45000</v>
      </c>
      <c r="L43" s="223" t="s">
        <v>419</v>
      </c>
      <c r="M43" s="224">
        <v>45000</v>
      </c>
      <c r="N43"/>
      <c r="P43"/>
    </row>
    <row r="44" spans="1:16" x14ac:dyDescent="0.2">
      <c r="A44" s="231">
        <v>1</v>
      </c>
      <c r="B44" s="221" t="s">
        <v>639</v>
      </c>
      <c r="C44" s="221" t="s">
        <v>640</v>
      </c>
      <c r="D44" s="222">
        <v>20581909</v>
      </c>
      <c r="E44" s="222">
        <v>812201</v>
      </c>
      <c r="F44" s="221" t="s">
        <v>641</v>
      </c>
      <c r="G44" s="221" t="s">
        <v>585</v>
      </c>
      <c r="H44" s="223" t="s">
        <v>419</v>
      </c>
      <c r="I44" s="224">
        <v>48000</v>
      </c>
      <c r="J44" s="223" t="s">
        <v>419</v>
      </c>
      <c r="K44" s="224">
        <v>48000</v>
      </c>
      <c r="L44" s="223" t="s">
        <v>419</v>
      </c>
      <c r="M44" s="224">
        <v>48000</v>
      </c>
      <c r="N44"/>
      <c r="P44"/>
    </row>
    <row r="45" spans="1:16" x14ac:dyDescent="0.2">
      <c r="A45" s="231">
        <v>1</v>
      </c>
      <c r="B45" s="221" t="s">
        <v>595</v>
      </c>
      <c r="C45" s="221" t="s">
        <v>642</v>
      </c>
      <c r="D45" s="222">
        <v>30265944</v>
      </c>
      <c r="E45" s="222">
        <v>812201</v>
      </c>
      <c r="F45" s="221" t="s">
        <v>641</v>
      </c>
      <c r="G45" s="221" t="s">
        <v>585</v>
      </c>
      <c r="H45" s="223" t="s">
        <v>419</v>
      </c>
      <c r="I45" s="224">
        <v>45000</v>
      </c>
      <c r="J45" s="223" t="s">
        <v>419</v>
      </c>
      <c r="K45" s="224">
        <v>45000</v>
      </c>
      <c r="L45" s="223" t="s">
        <v>419</v>
      </c>
      <c r="M45" s="224">
        <v>45000</v>
      </c>
      <c r="N45"/>
      <c r="P45"/>
    </row>
    <row r="46" spans="1:16" x14ac:dyDescent="0.2">
      <c r="A46" s="231">
        <v>1</v>
      </c>
      <c r="B46" s="221" t="s">
        <v>510</v>
      </c>
      <c r="C46" s="221" t="s">
        <v>600</v>
      </c>
      <c r="D46" s="222">
        <v>3408409</v>
      </c>
      <c r="E46" s="222">
        <v>812201</v>
      </c>
      <c r="F46" s="221" t="s">
        <v>643</v>
      </c>
      <c r="G46" s="221" t="s">
        <v>585</v>
      </c>
      <c r="H46" s="223" t="s">
        <v>419</v>
      </c>
      <c r="I46" s="224">
        <v>20000</v>
      </c>
      <c r="J46" s="223" t="s">
        <v>419</v>
      </c>
      <c r="K46" s="224">
        <v>20000</v>
      </c>
      <c r="L46" s="223" t="s">
        <v>419</v>
      </c>
      <c r="M46" s="224">
        <v>20000</v>
      </c>
      <c r="N46"/>
      <c r="P46"/>
    </row>
    <row r="47" spans="1:16" x14ac:dyDescent="0.2">
      <c r="A47" s="231">
        <v>1</v>
      </c>
      <c r="B47" s="221" t="s">
        <v>644</v>
      </c>
      <c r="C47" s="221" t="s">
        <v>645</v>
      </c>
      <c r="D47" s="222">
        <v>3360162</v>
      </c>
      <c r="E47" s="222">
        <v>812201</v>
      </c>
      <c r="F47" s="221" t="s">
        <v>641</v>
      </c>
      <c r="G47" s="221" t="s">
        <v>585</v>
      </c>
      <c r="H47" s="223" t="s">
        <v>347</v>
      </c>
      <c r="I47" s="224">
        <v>35000</v>
      </c>
      <c r="J47" s="223" t="s">
        <v>347</v>
      </c>
      <c r="K47" s="224">
        <v>35000</v>
      </c>
      <c r="L47" s="223" t="s">
        <v>347</v>
      </c>
      <c r="M47" s="224">
        <v>35000</v>
      </c>
      <c r="N47"/>
      <c r="P47"/>
    </row>
    <row r="48" spans="1:16" x14ac:dyDescent="0.2">
      <c r="A48" s="231">
        <v>1</v>
      </c>
      <c r="B48" s="221" t="s">
        <v>646</v>
      </c>
      <c r="C48" s="221" t="s">
        <v>647</v>
      </c>
      <c r="D48" s="222">
        <v>30017481</v>
      </c>
      <c r="E48" s="222">
        <v>812201</v>
      </c>
      <c r="F48" s="221" t="s">
        <v>641</v>
      </c>
      <c r="G48" s="221" t="s">
        <v>585</v>
      </c>
      <c r="H48" s="223" t="s">
        <v>419</v>
      </c>
      <c r="I48" s="224">
        <v>36000</v>
      </c>
      <c r="J48" s="223" t="s">
        <v>419</v>
      </c>
      <c r="K48" s="224">
        <v>36000</v>
      </c>
      <c r="L48" s="223" t="s">
        <v>419</v>
      </c>
      <c r="M48" s="224">
        <v>36000</v>
      </c>
      <c r="N48"/>
      <c r="P48"/>
    </row>
    <row r="49" spans="1:16" x14ac:dyDescent="0.2">
      <c r="A49" s="231">
        <v>1</v>
      </c>
      <c r="B49" s="221" t="s">
        <v>617</v>
      </c>
      <c r="C49" s="221" t="s">
        <v>600</v>
      </c>
      <c r="D49" s="222">
        <v>3472828</v>
      </c>
      <c r="E49" s="222">
        <v>812201</v>
      </c>
      <c r="F49" s="246" t="s">
        <v>648</v>
      </c>
      <c r="G49" s="221" t="s">
        <v>585</v>
      </c>
      <c r="H49" s="223" t="s">
        <v>347</v>
      </c>
      <c r="I49" s="224">
        <v>25000</v>
      </c>
      <c r="J49" s="223" t="s">
        <v>347</v>
      </c>
      <c r="K49" s="224">
        <v>25000</v>
      </c>
      <c r="L49" s="223" t="s">
        <v>347</v>
      </c>
      <c r="M49" s="224">
        <v>25000</v>
      </c>
      <c r="N49"/>
      <c r="P49"/>
    </row>
    <row r="50" spans="1:16" x14ac:dyDescent="0.2">
      <c r="A50" s="231">
        <v>1</v>
      </c>
      <c r="B50" s="221" t="s">
        <v>649</v>
      </c>
      <c r="C50" s="221" t="s">
        <v>650</v>
      </c>
      <c r="D50" s="222">
        <v>25976358</v>
      </c>
      <c r="E50" s="222">
        <v>812201</v>
      </c>
      <c r="F50" s="221" t="s">
        <v>651</v>
      </c>
      <c r="G50" s="221" t="s">
        <v>585</v>
      </c>
      <c r="H50" s="223" t="s">
        <v>347</v>
      </c>
      <c r="I50" s="224">
        <v>55000</v>
      </c>
      <c r="J50" s="223" t="s">
        <v>347</v>
      </c>
      <c r="K50" s="224">
        <v>55000</v>
      </c>
      <c r="L50" s="223" t="s">
        <v>347</v>
      </c>
      <c r="M50" s="224">
        <v>55000</v>
      </c>
      <c r="N50"/>
      <c r="P50"/>
    </row>
    <row r="51" spans="1:16" x14ac:dyDescent="0.2">
      <c r="A51" s="231">
        <v>1</v>
      </c>
      <c r="B51" s="221" t="s">
        <v>595</v>
      </c>
      <c r="C51" s="221" t="s">
        <v>596</v>
      </c>
      <c r="D51" s="222">
        <v>20440824</v>
      </c>
      <c r="E51" s="222">
        <v>812201</v>
      </c>
      <c r="F51" s="221" t="s">
        <v>651</v>
      </c>
      <c r="G51" s="221" t="s">
        <v>585</v>
      </c>
      <c r="H51" s="223" t="s">
        <v>347</v>
      </c>
      <c r="I51" s="224">
        <v>45000</v>
      </c>
      <c r="J51" s="223" t="s">
        <v>347</v>
      </c>
      <c r="K51" s="224">
        <v>45000</v>
      </c>
      <c r="L51" s="223" t="s">
        <v>347</v>
      </c>
      <c r="M51" s="224">
        <v>45000</v>
      </c>
      <c r="N51"/>
      <c r="P51"/>
    </row>
    <row r="52" spans="1:16" x14ac:dyDescent="0.2">
      <c r="A52" s="247" t="s">
        <v>652</v>
      </c>
      <c r="B52" s="241"/>
      <c r="C52" s="241"/>
      <c r="D52" s="242"/>
      <c r="E52" s="242"/>
      <c r="F52" s="241"/>
      <c r="G52" s="241"/>
      <c r="H52" s="243"/>
      <c r="I52" s="244">
        <f>SUM(I37:I51)</f>
        <v>606000</v>
      </c>
      <c r="J52" s="244"/>
      <c r="K52" s="244">
        <f t="shared" ref="K52:M52" si="2">SUM(K37:K51)</f>
        <v>606000</v>
      </c>
      <c r="L52" s="244"/>
      <c r="M52" s="244">
        <f t="shared" si="2"/>
        <v>606000</v>
      </c>
      <c r="N52"/>
      <c r="P52"/>
    </row>
    <row r="53" spans="1:16" s="245" customFormat="1" x14ac:dyDescent="0.2">
      <c r="A53" s="231">
        <v>1</v>
      </c>
      <c r="B53" s="221" t="s">
        <v>653</v>
      </c>
      <c r="C53" s="221" t="s">
        <v>403</v>
      </c>
      <c r="D53" s="222">
        <v>1789630</v>
      </c>
      <c r="E53" s="222">
        <v>812202</v>
      </c>
      <c r="F53" s="221" t="s">
        <v>654</v>
      </c>
      <c r="G53" s="221" t="s">
        <v>655</v>
      </c>
      <c r="H53" s="223" t="s">
        <v>347</v>
      </c>
      <c r="I53" s="224">
        <v>40000</v>
      </c>
      <c r="J53" s="223" t="s">
        <v>347</v>
      </c>
      <c r="K53" s="224">
        <v>40000</v>
      </c>
      <c r="L53" s="223" t="s">
        <v>347</v>
      </c>
      <c r="M53" s="224">
        <v>40000</v>
      </c>
      <c r="N53"/>
      <c r="P53"/>
    </row>
    <row r="54" spans="1:16" x14ac:dyDescent="0.2">
      <c r="A54" s="231">
        <v>1</v>
      </c>
      <c r="B54" s="221" t="s">
        <v>653</v>
      </c>
      <c r="C54" s="221" t="s">
        <v>403</v>
      </c>
      <c r="D54" s="222">
        <v>999999</v>
      </c>
      <c r="E54" s="222">
        <v>812202</v>
      </c>
      <c r="F54" s="221" t="s">
        <v>654</v>
      </c>
      <c r="G54" s="221" t="s">
        <v>655</v>
      </c>
      <c r="H54" s="223" t="s">
        <v>347</v>
      </c>
      <c r="I54" s="224">
        <v>62100</v>
      </c>
      <c r="J54" s="223" t="s">
        <v>347</v>
      </c>
      <c r="K54" s="224">
        <v>62100</v>
      </c>
      <c r="L54" s="223" t="s">
        <v>347</v>
      </c>
      <c r="M54" s="224">
        <v>62100</v>
      </c>
      <c r="N54"/>
      <c r="P54"/>
    </row>
    <row r="55" spans="1:16" x14ac:dyDescent="0.2">
      <c r="A55" s="231">
        <v>1</v>
      </c>
      <c r="B55" s="221" t="s">
        <v>341</v>
      </c>
      <c r="C55" s="221" t="s">
        <v>656</v>
      </c>
      <c r="D55" s="222">
        <v>30169548</v>
      </c>
      <c r="E55" s="222">
        <v>812202</v>
      </c>
      <c r="F55" s="221" t="s">
        <v>654</v>
      </c>
      <c r="G55" s="221" t="s">
        <v>655</v>
      </c>
      <c r="H55" s="223" t="s">
        <v>347</v>
      </c>
      <c r="I55" s="224">
        <v>34000</v>
      </c>
      <c r="J55" s="223" t="s">
        <v>347</v>
      </c>
      <c r="K55" s="224">
        <v>34000</v>
      </c>
      <c r="L55" s="223" t="s">
        <v>347</v>
      </c>
      <c r="M55" s="224">
        <v>34000</v>
      </c>
    </row>
    <row r="56" spans="1:16" x14ac:dyDescent="0.2">
      <c r="A56" s="247" t="s">
        <v>657</v>
      </c>
      <c r="B56" s="241"/>
      <c r="C56" s="241"/>
      <c r="D56" s="242"/>
      <c r="E56" s="242"/>
      <c r="F56" s="241"/>
      <c r="G56" s="241"/>
      <c r="H56" s="243"/>
      <c r="I56" s="244">
        <f>SUM(I53:I55)</f>
        <v>136100</v>
      </c>
      <c r="J56" s="244"/>
      <c r="K56" s="244">
        <f t="shared" ref="K56:M56" si="3">SUM(K53:K55)</f>
        <v>136100</v>
      </c>
      <c r="L56" s="244"/>
      <c r="M56" s="244">
        <f t="shared" si="3"/>
        <v>136100</v>
      </c>
    </row>
    <row r="57" spans="1:16" x14ac:dyDescent="0.2">
      <c r="A57" s="231">
        <v>1</v>
      </c>
      <c r="B57" s="221" t="s">
        <v>658</v>
      </c>
      <c r="C57" s="221" t="s">
        <v>627</v>
      </c>
      <c r="D57" s="222">
        <v>2310370</v>
      </c>
      <c r="E57" s="222">
        <v>812203</v>
      </c>
      <c r="F57" s="221" t="s">
        <v>659</v>
      </c>
      <c r="G57" s="221" t="s">
        <v>660</v>
      </c>
      <c r="H57" s="223">
        <v>0.83</v>
      </c>
      <c r="I57" s="224">
        <v>82000</v>
      </c>
      <c r="J57" s="223">
        <v>0.83</v>
      </c>
      <c r="K57" s="224">
        <v>82000</v>
      </c>
      <c r="L57" s="223">
        <v>0.83</v>
      </c>
      <c r="M57" s="224">
        <v>82000</v>
      </c>
    </row>
    <row r="58" spans="1:16" x14ac:dyDescent="0.2">
      <c r="A58" s="231">
        <v>1</v>
      </c>
      <c r="B58" s="221" t="s">
        <v>318</v>
      </c>
      <c r="C58" s="221" t="s">
        <v>661</v>
      </c>
      <c r="D58" s="222">
        <v>3599882</v>
      </c>
      <c r="E58" s="222">
        <v>812203</v>
      </c>
      <c r="F58" s="221" t="s">
        <v>659</v>
      </c>
      <c r="G58" s="221" t="s">
        <v>660</v>
      </c>
      <c r="H58" s="223">
        <v>0.85</v>
      </c>
      <c r="I58" s="224">
        <v>90000</v>
      </c>
      <c r="J58" s="223">
        <v>0.85</v>
      </c>
      <c r="K58" s="224">
        <v>90000</v>
      </c>
      <c r="L58" s="223">
        <v>0.85</v>
      </c>
      <c r="M58" s="224">
        <v>90000</v>
      </c>
    </row>
    <row r="59" spans="1:16" x14ac:dyDescent="0.2">
      <c r="A59" s="231">
        <v>1</v>
      </c>
      <c r="B59" s="221" t="s">
        <v>318</v>
      </c>
      <c r="C59" s="221" t="s">
        <v>662</v>
      </c>
      <c r="D59" s="222">
        <v>30993795</v>
      </c>
      <c r="E59" s="222">
        <v>812203</v>
      </c>
      <c r="F59" s="221" t="s">
        <v>659</v>
      </c>
      <c r="G59" s="221" t="s">
        <v>663</v>
      </c>
      <c r="H59" s="223" t="s">
        <v>419</v>
      </c>
      <c r="I59" s="224">
        <v>40000</v>
      </c>
      <c r="J59" s="223" t="s">
        <v>419</v>
      </c>
      <c r="K59" s="224">
        <v>40000</v>
      </c>
      <c r="L59" s="223" t="s">
        <v>419</v>
      </c>
      <c r="M59" s="224">
        <v>40000</v>
      </c>
    </row>
    <row r="60" spans="1:16" x14ac:dyDescent="0.2">
      <c r="A60" s="231">
        <v>1</v>
      </c>
      <c r="B60" s="221" t="s">
        <v>352</v>
      </c>
      <c r="C60" s="221" t="s">
        <v>664</v>
      </c>
      <c r="D60" s="222">
        <v>1153750</v>
      </c>
      <c r="E60" s="222">
        <v>812203</v>
      </c>
      <c r="F60" s="221" t="s">
        <v>659</v>
      </c>
      <c r="G60" s="221" t="s">
        <v>663</v>
      </c>
      <c r="H60" s="223" t="s">
        <v>347</v>
      </c>
      <c r="I60" s="224">
        <v>40000</v>
      </c>
      <c r="J60" s="223" t="s">
        <v>347</v>
      </c>
      <c r="K60" s="224">
        <v>40000</v>
      </c>
      <c r="L60" s="223" t="s">
        <v>347</v>
      </c>
      <c r="M60" s="224">
        <v>40000</v>
      </c>
    </row>
    <row r="61" spans="1:16" x14ac:dyDescent="0.2">
      <c r="A61" s="231">
        <v>1</v>
      </c>
      <c r="B61" s="221" t="s">
        <v>665</v>
      </c>
      <c r="C61" s="221" t="s">
        <v>666</v>
      </c>
      <c r="D61" s="222">
        <v>32164064</v>
      </c>
      <c r="E61" s="222">
        <v>812203</v>
      </c>
      <c r="F61" s="221" t="s">
        <v>659</v>
      </c>
      <c r="G61" s="221" t="s">
        <v>667</v>
      </c>
      <c r="H61" s="223" t="s">
        <v>419</v>
      </c>
      <c r="I61" s="248">
        <v>40000</v>
      </c>
      <c r="J61" s="223" t="s">
        <v>419</v>
      </c>
      <c r="K61" s="248">
        <v>40000</v>
      </c>
      <c r="L61" s="223" t="s">
        <v>419</v>
      </c>
      <c r="M61" s="248">
        <v>40000</v>
      </c>
    </row>
    <row r="62" spans="1:16" x14ac:dyDescent="0.2">
      <c r="A62" s="247" t="s">
        <v>668</v>
      </c>
      <c r="B62" s="241"/>
      <c r="C62" s="241"/>
      <c r="D62" s="242"/>
      <c r="E62" s="242"/>
      <c r="F62" s="241"/>
      <c r="G62" s="241"/>
      <c r="H62" s="243"/>
      <c r="I62" s="244">
        <f>SUM(I57:I61)</f>
        <v>292000</v>
      </c>
      <c r="J62" s="244"/>
      <c r="K62" s="244">
        <f t="shared" ref="K62:M62" si="4">SUM(K57:K61)</f>
        <v>292000</v>
      </c>
      <c r="L62" s="244"/>
      <c r="M62" s="244">
        <f t="shared" si="4"/>
        <v>292000</v>
      </c>
    </row>
    <row r="63" spans="1:16" s="245" customFormat="1" x14ac:dyDescent="0.2">
      <c r="A63" s="231">
        <v>1</v>
      </c>
      <c r="B63" s="221" t="s">
        <v>337</v>
      </c>
      <c r="C63" s="222" t="s">
        <v>621</v>
      </c>
      <c r="D63" s="222">
        <v>3117724</v>
      </c>
      <c r="E63" s="222">
        <v>812502</v>
      </c>
      <c r="F63" s="221" t="s">
        <v>669</v>
      </c>
      <c r="G63" s="221" t="s">
        <v>670</v>
      </c>
      <c r="H63" s="223" t="s">
        <v>347</v>
      </c>
      <c r="I63" s="249">
        <v>50000</v>
      </c>
      <c r="J63" s="223" t="s">
        <v>347</v>
      </c>
      <c r="K63" s="249">
        <v>50000</v>
      </c>
      <c r="L63" s="223" t="s">
        <v>347</v>
      </c>
      <c r="M63" s="249">
        <v>50000</v>
      </c>
    </row>
    <row r="64" spans="1:16" x14ac:dyDescent="0.2">
      <c r="A64" s="231">
        <v>1</v>
      </c>
      <c r="B64" s="221" t="s">
        <v>505</v>
      </c>
      <c r="C64" s="221" t="s">
        <v>671</v>
      </c>
      <c r="D64" s="222">
        <v>2999412</v>
      </c>
      <c r="E64" s="222">
        <v>812502</v>
      </c>
      <c r="F64" s="221" t="s">
        <v>669</v>
      </c>
      <c r="G64" s="221" t="s">
        <v>670</v>
      </c>
      <c r="H64" s="223" t="s">
        <v>419</v>
      </c>
      <c r="I64" s="224">
        <v>42000</v>
      </c>
      <c r="J64" s="223" t="s">
        <v>419</v>
      </c>
      <c r="K64" s="224">
        <v>42000</v>
      </c>
      <c r="L64" s="223" t="s">
        <v>419</v>
      </c>
      <c r="M64" s="224">
        <v>42000</v>
      </c>
    </row>
    <row r="65" spans="1:13" x14ac:dyDescent="0.2">
      <c r="A65" s="231">
        <v>1</v>
      </c>
      <c r="B65" s="221" t="s">
        <v>428</v>
      </c>
      <c r="C65" s="221" t="s">
        <v>672</v>
      </c>
      <c r="D65" s="222">
        <v>2751317</v>
      </c>
      <c r="E65" s="222">
        <v>812502</v>
      </c>
      <c r="F65" s="221" t="s">
        <v>669</v>
      </c>
      <c r="G65" s="221" t="s">
        <v>670</v>
      </c>
      <c r="H65" s="223" t="s">
        <v>419</v>
      </c>
      <c r="I65" s="224">
        <v>32000</v>
      </c>
      <c r="J65" s="223" t="s">
        <v>419</v>
      </c>
      <c r="K65" s="224">
        <v>32000</v>
      </c>
      <c r="L65" s="223" t="s">
        <v>419</v>
      </c>
      <c r="M65" s="224">
        <v>32000</v>
      </c>
    </row>
    <row r="66" spans="1:13" x14ac:dyDescent="0.2">
      <c r="A66" s="231">
        <v>1</v>
      </c>
      <c r="B66" s="221" t="s">
        <v>673</v>
      </c>
      <c r="C66" s="221" t="s">
        <v>674</v>
      </c>
      <c r="D66" s="222">
        <v>30101448</v>
      </c>
      <c r="E66" s="222">
        <v>812502</v>
      </c>
      <c r="F66" s="221" t="s">
        <v>669</v>
      </c>
      <c r="G66" s="221" t="s">
        <v>670</v>
      </c>
      <c r="H66" s="223" t="s">
        <v>419</v>
      </c>
      <c r="I66" s="224">
        <v>20000</v>
      </c>
      <c r="J66" s="223" t="s">
        <v>419</v>
      </c>
      <c r="K66" s="224">
        <v>20000</v>
      </c>
      <c r="L66" s="223" t="s">
        <v>419</v>
      </c>
      <c r="M66" s="224">
        <v>20000</v>
      </c>
    </row>
    <row r="67" spans="1:13" x14ac:dyDescent="0.2">
      <c r="A67" s="247" t="s">
        <v>675</v>
      </c>
      <c r="B67" s="241"/>
      <c r="C67" s="241"/>
      <c r="D67" s="242"/>
      <c r="E67" s="242"/>
      <c r="F67" s="241"/>
      <c r="G67" s="241"/>
      <c r="H67" s="243"/>
      <c r="I67" s="250">
        <f>SUM(I63:I66)</f>
        <v>144000</v>
      </c>
      <c r="J67" s="250"/>
      <c r="K67" s="250">
        <f t="shared" ref="K67:M67" si="5">SUM(K63:K66)</f>
        <v>144000</v>
      </c>
      <c r="L67" s="250"/>
      <c r="M67" s="250">
        <f t="shared" si="5"/>
        <v>144000</v>
      </c>
    </row>
    <row r="68" spans="1:13" s="245" customFormat="1" x14ac:dyDescent="0.2">
      <c r="A68" s="231">
        <v>1</v>
      </c>
      <c r="B68" s="221" t="s">
        <v>557</v>
      </c>
      <c r="C68" s="221" t="s">
        <v>676</v>
      </c>
      <c r="D68" s="222">
        <v>99999999</v>
      </c>
      <c r="E68" s="222">
        <v>812512</v>
      </c>
      <c r="F68" s="221" t="s">
        <v>677</v>
      </c>
      <c r="G68" s="221" t="s">
        <v>670</v>
      </c>
      <c r="H68" s="223" t="s">
        <v>347</v>
      </c>
      <c r="I68" s="224">
        <v>86000</v>
      </c>
      <c r="J68" s="223" t="s">
        <v>347</v>
      </c>
      <c r="K68" s="224">
        <v>86000</v>
      </c>
      <c r="L68" s="223" t="s">
        <v>347</v>
      </c>
      <c r="M68" s="224">
        <v>86000</v>
      </c>
    </row>
    <row r="69" spans="1:13" x14ac:dyDescent="0.2">
      <c r="A69" s="231">
        <v>1</v>
      </c>
      <c r="B69" s="221" t="s">
        <v>603</v>
      </c>
      <c r="C69" s="221" t="s">
        <v>678</v>
      </c>
      <c r="D69" s="222">
        <v>30266159</v>
      </c>
      <c r="E69" s="222">
        <v>812512</v>
      </c>
      <c r="F69" s="221" t="s">
        <v>677</v>
      </c>
      <c r="G69" s="221" t="s">
        <v>670</v>
      </c>
      <c r="H69" s="223" t="s">
        <v>347</v>
      </c>
      <c r="I69" s="224">
        <v>24000</v>
      </c>
      <c r="J69" s="223" t="s">
        <v>347</v>
      </c>
      <c r="K69" s="224">
        <v>24000</v>
      </c>
      <c r="L69" s="223" t="s">
        <v>347</v>
      </c>
      <c r="M69" s="224">
        <v>24000</v>
      </c>
    </row>
    <row r="70" spans="1:13" x14ac:dyDescent="0.2">
      <c r="A70" s="247" t="s">
        <v>679</v>
      </c>
      <c r="B70" s="241"/>
      <c r="C70" s="241"/>
      <c r="D70" s="242"/>
      <c r="E70" s="242"/>
      <c r="F70" s="241"/>
      <c r="G70" s="241"/>
      <c r="H70" s="243"/>
      <c r="I70" s="244">
        <f>SUM(I68:I69)</f>
        <v>110000</v>
      </c>
      <c r="J70" s="244"/>
      <c r="K70" s="244">
        <f t="shared" ref="K70:M70" si="6">SUM(K68:K69)</f>
        <v>110000</v>
      </c>
      <c r="L70" s="244"/>
      <c r="M70" s="244">
        <f t="shared" si="6"/>
        <v>110000</v>
      </c>
    </row>
    <row r="71" spans="1:13" s="245" customFormat="1" x14ac:dyDescent="0.2">
      <c r="A71" s="231">
        <v>1</v>
      </c>
      <c r="B71" s="221" t="s">
        <v>680</v>
      </c>
      <c r="C71" s="221" t="s">
        <v>681</v>
      </c>
      <c r="D71" s="222">
        <v>2319428</v>
      </c>
      <c r="E71" s="222">
        <v>812513</v>
      </c>
      <c r="F71" s="221" t="s">
        <v>682</v>
      </c>
      <c r="G71" s="221" t="s">
        <v>683</v>
      </c>
      <c r="H71" s="223">
        <v>1</v>
      </c>
      <c r="I71" s="224">
        <v>150000</v>
      </c>
      <c r="J71" s="223">
        <v>1</v>
      </c>
      <c r="K71" s="224">
        <v>150000</v>
      </c>
      <c r="L71" s="223">
        <v>1</v>
      </c>
      <c r="M71" s="224">
        <v>150000</v>
      </c>
    </row>
    <row r="72" spans="1:13" s="245" customFormat="1" x14ac:dyDescent="0.2">
      <c r="A72" s="251">
        <v>1</v>
      </c>
      <c r="B72" s="221" t="s">
        <v>557</v>
      </c>
      <c r="C72" s="221" t="s">
        <v>676</v>
      </c>
      <c r="D72" s="222">
        <v>9999999</v>
      </c>
      <c r="E72" s="222">
        <v>812513</v>
      </c>
      <c r="F72" s="221" t="s">
        <v>682</v>
      </c>
      <c r="G72" s="221" t="s">
        <v>683</v>
      </c>
      <c r="H72" s="252" t="s">
        <v>347</v>
      </c>
      <c r="I72" s="224">
        <v>90000</v>
      </c>
      <c r="J72" s="252" t="s">
        <v>347</v>
      </c>
      <c r="K72" s="224">
        <v>90000</v>
      </c>
      <c r="L72" s="252" t="s">
        <v>347</v>
      </c>
      <c r="M72" s="224">
        <v>90000</v>
      </c>
    </row>
    <row r="73" spans="1:13" x14ac:dyDescent="0.2">
      <c r="A73" s="247" t="s">
        <v>684</v>
      </c>
      <c r="B73" s="241"/>
      <c r="C73" s="241"/>
      <c r="D73" s="242"/>
      <c r="E73" s="242"/>
      <c r="F73" s="241"/>
      <c r="G73" s="241"/>
      <c r="H73" s="243"/>
      <c r="I73" s="244">
        <f>SUM(I71:I72)</f>
        <v>240000</v>
      </c>
      <c r="J73" s="244"/>
      <c r="K73" s="244">
        <f t="shared" ref="K73:M73" si="7">SUM(K71:K72)</f>
        <v>240000</v>
      </c>
      <c r="L73" s="244"/>
      <c r="M73" s="244">
        <f t="shared" si="7"/>
        <v>240000</v>
      </c>
    </row>
    <row r="74" spans="1:13" s="245" customFormat="1" x14ac:dyDescent="0.2">
      <c r="A74" s="231">
        <v>1</v>
      </c>
      <c r="B74" s="221" t="s">
        <v>428</v>
      </c>
      <c r="C74" s="221" t="s">
        <v>685</v>
      </c>
      <c r="D74" s="222">
        <v>2751317</v>
      </c>
      <c r="E74" s="222">
        <v>812515</v>
      </c>
      <c r="F74" s="221" t="s">
        <v>686</v>
      </c>
      <c r="G74" s="221" t="s">
        <v>655</v>
      </c>
      <c r="H74" s="223" t="s">
        <v>347</v>
      </c>
      <c r="I74" s="224">
        <v>50600</v>
      </c>
      <c r="J74" s="223" t="s">
        <v>347</v>
      </c>
      <c r="K74" s="224">
        <v>50600</v>
      </c>
      <c r="L74" s="223" t="s">
        <v>347</v>
      </c>
      <c r="M74" s="224">
        <v>50600</v>
      </c>
    </row>
    <row r="75" spans="1:13" x14ac:dyDescent="0.2">
      <c r="A75" s="253"/>
      <c r="B75" s="241"/>
      <c r="C75" s="241"/>
      <c r="D75" s="242"/>
      <c r="E75" s="242"/>
      <c r="F75" s="241"/>
      <c r="G75" s="241"/>
      <c r="H75" s="243"/>
      <c r="I75" s="244">
        <f>SUM(I74:I74)</f>
        <v>50600</v>
      </c>
      <c r="J75" s="244"/>
      <c r="K75" s="244">
        <f t="shared" ref="K75:M75" si="8">SUM(K74:K74)</f>
        <v>50600</v>
      </c>
      <c r="L75" s="244"/>
      <c r="M75" s="244">
        <f t="shared" si="8"/>
        <v>50600</v>
      </c>
    </row>
    <row r="76" spans="1:13" s="245" customFormat="1" x14ac:dyDescent="0.2">
      <c r="A76" s="231">
        <v>1</v>
      </c>
      <c r="B76" s="221" t="s">
        <v>557</v>
      </c>
      <c r="C76" s="221" t="s">
        <v>687</v>
      </c>
      <c r="D76" s="222">
        <v>3311181</v>
      </c>
      <c r="E76" s="222">
        <v>812517</v>
      </c>
      <c r="F76" s="254" t="s">
        <v>688</v>
      </c>
      <c r="G76" s="221" t="s">
        <v>655</v>
      </c>
      <c r="H76" s="223" t="s">
        <v>689</v>
      </c>
      <c r="I76" s="224">
        <v>68500</v>
      </c>
      <c r="J76" s="223" t="s">
        <v>689</v>
      </c>
      <c r="K76" s="224">
        <v>68500</v>
      </c>
      <c r="L76" s="223" t="s">
        <v>689</v>
      </c>
      <c r="M76" s="224">
        <v>68500</v>
      </c>
    </row>
    <row r="77" spans="1:13" x14ac:dyDescent="0.2">
      <c r="A77" s="247" t="s">
        <v>690</v>
      </c>
      <c r="B77" s="241"/>
      <c r="C77" s="241"/>
      <c r="D77" s="242"/>
      <c r="E77" s="242"/>
      <c r="F77" s="241"/>
      <c r="G77" s="241"/>
      <c r="H77" s="243"/>
      <c r="I77" s="244">
        <f>SUM(I76:I76)</f>
        <v>68500</v>
      </c>
      <c r="J77" s="244"/>
      <c r="K77" s="244">
        <f t="shared" ref="K77:M77" si="9">SUM(K76:K76)</f>
        <v>68500</v>
      </c>
      <c r="L77" s="244"/>
      <c r="M77" s="244">
        <f t="shared" si="9"/>
        <v>68500</v>
      </c>
    </row>
    <row r="78" spans="1:13" x14ac:dyDescent="0.2">
      <c r="A78" s="231">
        <v>1</v>
      </c>
      <c r="B78" s="221" t="s">
        <v>649</v>
      </c>
      <c r="C78" s="221" t="s">
        <v>691</v>
      </c>
      <c r="D78" s="222">
        <v>5992866</v>
      </c>
      <c r="E78" s="222">
        <v>813200</v>
      </c>
      <c r="F78" s="221" t="s">
        <v>692</v>
      </c>
      <c r="G78" s="221" t="s">
        <v>693</v>
      </c>
      <c r="H78" s="223">
        <v>1</v>
      </c>
      <c r="I78" s="224">
        <v>96000</v>
      </c>
      <c r="J78" s="223">
        <v>1</v>
      </c>
      <c r="K78" s="224">
        <v>96000</v>
      </c>
      <c r="L78" s="223">
        <v>1</v>
      </c>
      <c r="M78" s="224">
        <v>96000</v>
      </c>
    </row>
    <row r="79" spans="1:13" x14ac:dyDescent="0.2">
      <c r="A79" s="255">
        <v>1</v>
      </c>
      <c r="B79" s="246" t="s">
        <v>694</v>
      </c>
      <c r="C79" s="246" t="s">
        <v>318</v>
      </c>
      <c r="D79" s="256">
        <v>2767428</v>
      </c>
      <c r="E79" s="256">
        <v>813200</v>
      </c>
      <c r="F79" s="246" t="s">
        <v>695</v>
      </c>
      <c r="G79" s="246" t="s">
        <v>693</v>
      </c>
      <c r="H79" s="257">
        <v>1</v>
      </c>
      <c r="I79" s="258">
        <v>50000</v>
      </c>
      <c r="J79" s="257">
        <v>1</v>
      </c>
      <c r="K79" s="258">
        <v>50000</v>
      </c>
      <c r="L79" s="257">
        <v>1</v>
      </c>
      <c r="M79" s="258">
        <v>50000</v>
      </c>
    </row>
    <row r="80" spans="1:13" x14ac:dyDescent="0.2">
      <c r="A80" s="255">
        <v>1</v>
      </c>
      <c r="B80" s="246" t="s">
        <v>576</v>
      </c>
      <c r="C80" s="246" t="s">
        <v>432</v>
      </c>
      <c r="D80" s="256">
        <v>4052215</v>
      </c>
      <c r="E80" s="256">
        <v>813200</v>
      </c>
      <c r="F80" s="246" t="s">
        <v>695</v>
      </c>
      <c r="G80" s="246" t="s">
        <v>693</v>
      </c>
      <c r="H80" s="257">
        <v>1</v>
      </c>
      <c r="I80" s="258">
        <v>40713</v>
      </c>
      <c r="J80" s="257">
        <v>1</v>
      </c>
      <c r="K80" s="258">
        <v>60000</v>
      </c>
      <c r="L80" s="257">
        <v>1</v>
      </c>
      <c r="M80" s="258">
        <v>60000</v>
      </c>
    </row>
    <row r="81" spans="1:13" x14ac:dyDescent="0.2">
      <c r="A81" s="255">
        <v>1</v>
      </c>
      <c r="B81" s="237" t="s">
        <v>603</v>
      </c>
      <c r="C81" s="237" t="s">
        <v>696</v>
      </c>
      <c r="D81" s="238">
        <v>5703171</v>
      </c>
      <c r="E81" s="238">
        <v>813200</v>
      </c>
      <c r="F81" s="237" t="s">
        <v>697</v>
      </c>
      <c r="G81" s="237" t="s">
        <v>693</v>
      </c>
      <c r="H81" s="239">
        <v>1</v>
      </c>
      <c r="I81" s="224">
        <v>90000</v>
      </c>
      <c r="J81" s="239">
        <v>1</v>
      </c>
      <c r="K81" s="224">
        <v>96000</v>
      </c>
      <c r="L81" s="239">
        <v>1</v>
      </c>
      <c r="M81" s="224">
        <v>96000</v>
      </c>
    </row>
    <row r="82" spans="1:13" x14ac:dyDescent="0.2">
      <c r="A82" s="247" t="s">
        <v>698</v>
      </c>
      <c r="B82" s="241"/>
      <c r="C82" s="241"/>
      <c r="D82" s="242"/>
      <c r="E82" s="242"/>
      <c r="F82" s="241"/>
      <c r="G82" s="241"/>
      <c r="H82" s="243"/>
      <c r="I82" s="244">
        <f>SUM(I78:I81)</f>
        <v>276713</v>
      </c>
      <c r="J82" s="244"/>
      <c r="K82" s="244">
        <f t="shared" ref="K82:M82" si="10">SUM(K78:K81)</f>
        <v>302000</v>
      </c>
      <c r="L82" s="244"/>
      <c r="M82" s="244">
        <f t="shared" si="10"/>
        <v>302000</v>
      </c>
    </row>
    <row r="83" spans="1:13" s="245" customFormat="1" x14ac:dyDescent="0.2">
      <c r="A83" s="231">
        <v>1</v>
      </c>
      <c r="B83" s="221" t="s">
        <v>649</v>
      </c>
      <c r="C83" s="221" t="s">
        <v>699</v>
      </c>
      <c r="D83" s="222">
        <v>3996233</v>
      </c>
      <c r="E83" s="222">
        <v>813201</v>
      </c>
      <c r="F83" s="221" t="s">
        <v>697</v>
      </c>
      <c r="G83" s="221" t="s">
        <v>326</v>
      </c>
      <c r="H83" s="223">
        <v>0.75</v>
      </c>
      <c r="I83" s="224">
        <v>65000</v>
      </c>
      <c r="J83" s="223">
        <v>0.75</v>
      </c>
      <c r="K83" s="224">
        <v>65000</v>
      </c>
      <c r="L83" s="223">
        <v>0.75</v>
      </c>
      <c r="M83" s="224">
        <v>65000</v>
      </c>
    </row>
    <row r="84" spans="1:13" x14ac:dyDescent="0.2">
      <c r="A84" s="231">
        <v>1</v>
      </c>
      <c r="B84" s="221" t="s">
        <v>390</v>
      </c>
      <c r="C84" s="221" t="s">
        <v>700</v>
      </c>
      <c r="D84" s="222">
        <v>2318530</v>
      </c>
      <c r="E84" s="222">
        <v>813201</v>
      </c>
      <c r="F84" s="221" t="s">
        <v>692</v>
      </c>
      <c r="G84" s="221" t="s">
        <v>326</v>
      </c>
      <c r="H84" s="223">
        <v>0.83</v>
      </c>
      <c r="I84" s="224">
        <v>87000</v>
      </c>
      <c r="J84" s="223">
        <v>0.83</v>
      </c>
      <c r="K84" s="224">
        <v>87000</v>
      </c>
      <c r="L84" s="223">
        <v>0.83</v>
      </c>
      <c r="M84" s="224">
        <v>87000</v>
      </c>
    </row>
    <row r="85" spans="1:13" x14ac:dyDescent="0.2">
      <c r="A85" s="231">
        <v>1</v>
      </c>
      <c r="B85" s="221" t="s">
        <v>416</v>
      </c>
      <c r="C85" s="221" t="s">
        <v>701</v>
      </c>
      <c r="D85" s="222">
        <v>30305481</v>
      </c>
      <c r="E85" s="222">
        <v>813201</v>
      </c>
      <c r="F85" s="221" t="s">
        <v>692</v>
      </c>
      <c r="G85" s="221" t="s">
        <v>326</v>
      </c>
      <c r="H85" s="223">
        <v>0.6</v>
      </c>
      <c r="I85" s="224">
        <v>60000</v>
      </c>
      <c r="J85" s="223">
        <v>0.6</v>
      </c>
      <c r="K85" s="224">
        <v>60000</v>
      </c>
      <c r="L85" s="223">
        <v>0.6</v>
      </c>
      <c r="M85" s="224">
        <v>60000</v>
      </c>
    </row>
    <row r="86" spans="1:13" x14ac:dyDescent="0.2">
      <c r="A86" s="231">
        <v>1</v>
      </c>
      <c r="B86" s="221" t="s">
        <v>458</v>
      </c>
      <c r="C86" s="221" t="s">
        <v>472</v>
      </c>
      <c r="D86" s="222">
        <v>5439348</v>
      </c>
      <c r="E86" s="222">
        <v>813201</v>
      </c>
      <c r="F86" s="221" t="s">
        <v>702</v>
      </c>
      <c r="G86" s="221" t="s">
        <v>326</v>
      </c>
      <c r="H86" s="223">
        <v>0.8</v>
      </c>
      <c r="I86" s="224">
        <v>105000</v>
      </c>
      <c r="J86" s="223">
        <v>0.8</v>
      </c>
      <c r="K86" s="224">
        <v>105000</v>
      </c>
      <c r="L86" s="223">
        <v>0.8</v>
      </c>
      <c r="M86" s="224">
        <v>105000</v>
      </c>
    </row>
    <row r="87" spans="1:13" x14ac:dyDescent="0.2">
      <c r="A87" s="231">
        <v>1</v>
      </c>
      <c r="B87" s="221" t="s">
        <v>323</v>
      </c>
      <c r="C87" s="221" t="s">
        <v>703</v>
      </c>
      <c r="D87" s="222">
        <v>2617588</v>
      </c>
      <c r="E87" s="222">
        <v>813201</v>
      </c>
      <c r="F87" s="221" t="s">
        <v>702</v>
      </c>
      <c r="G87" s="221" t="s">
        <v>326</v>
      </c>
      <c r="H87" s="223">
        <v>0.6</v>
      </c>
      <c r="I87" s="224">
        <v>55000</v>
      </c>
      <c r="J87" s="223">
        <v>0.6</v>
      </c>
      <c r="K87" s="224">
        <v>55000</v>
      </c>
      <c r="L87" s="223">
        <v>0.6</v>
      </c>
      <c r="M87" s="224">
        <v>55000</v>
      </c>
    </row>
    <row r="88" spans="1:13" x14ac:dyDescent="0.2">
      <c r="A88" s="231">
        <v>1</v>
      </c>
      <c r="B88" s="221" t="s">
        <v>318</v>
      </c>
      <c r="C88" s="221" t="s">
        <v>704</v>
      </c>
      <c r="D88" s="222">
        <v>5897615</v>
      </c>
      <c r="E88" s="222">
        <v>813201</v>
      </c>
      <c r="F88" s="221" t="s">
        <v>705</v>
      </c>
      <c r="G88" s="221" t="s">
        <v>706</v>
      </c>
      <c r="H88" s="223">
        <v>0.83</v>
      </c>
      <c r="I88" s="224">
        <v>90000</v>
      </c>
      <c r="J88" s="223">
        <v>0.83</v>
      </c>
      <c r="K88" s="224">
        <v>90000</v>
      </c>
      <c r="L88" s="223">
        <v>0.83</v>
      </c>
      <c r="M88" s="224">
        <v>90000</v>
      </c>
    </row>
    <row r="89" spans="1:13" x14ac:dyDescent="0.2">
      <c r="A89" s="231">
        <v>1</v>
      </c>
      <c r="B89" s="221" t="s">
        <v>526</v>
      </c>
      <c r="C89" s="221" t="s">
        <v>707</v>
      </c>
      <c r="D89" s="222">
        <v>2996869</v>
      </c>
      <c r="E89" s="222">
        <v>813201</v>
      </c>
      <c r="F89" s="221" t="s">
        <v>705</v>
      </c>
      <c r="G89" s="221" t="s">
        <v>326</v>
      </c>
      <c r="H89" s="223">
        <v>0.75</v>
      </c>
      <c r="I89" s="224">
        <v>80000</v>
      </c>
      <c r="J89" s="223">
        <v>0.75</v>
      </c>
      <c r="K89" s="224">
        <v>80000</v>
      </c>
      <c r="L89" s="223">
        <v>0.75</v>
      </c>
      <c r="M89" s="224">
        <v>80000</v>
      </c>
    </row>
    <row r="90" spans="1:13" x14ac:dyDescent="0.2">
      <c r="A90" s="247" t="s">
        <v>708</v>
      </c>
      <c r="B90" s="241"/>
      <c r="C90" s="241"/>
      <c r="D90" s="242"/>
      <c r="E90" s="242"/>
      <c r="F90" s="241"/>
      <c r="G90" s="241"/>
      <c r="H90" s="243"/>
      <c r="I90" s="244">
        <f>SUM(I83:I89)</f>
        <v>542000</v>
      </c>
      <c r="J90" s="244"/>
      <c r="K90" s="244">
        <f t="shared" ref="K90:M90" si="11">SUM(K83:K89)</f>
        <v>542000</v>
      </c>
      <c r="L90" s="244"/>
      <c r="M90" s="244">
        <f t="shared" si="11"/>
        <v>542000</v>
      </c>
    </row>
    <row r="91" spans="1:13" s="245" customFormat="1" x14ac:dyDescent="0.2">
      <c r="A91" s="231">
        <v>1</v>
      </c>
      <c r="B91" s="221" t="s">
        <v>709</v>
      </c>
      <c r="C91" s="221" t="s">
        <v>671</v>
      </c>
      <c r="D91" s="222">
        <v>5698570</v>
      </c>
      <c r="E91" s="222">
        <v>813202</v>
      </c>
      <c r="F91" s="221" t="s">
        <v>710</v>
      </c>
      <c r="G91" s="221" t="s">
        <v>363</v>
      </c>
      <c r="H91" s="223">
        <v>0.6</v>
      </c>
      <c r="I91" s="224">
        <v>60000</v>
      </c>
      <c r="J91" s="223">
        <v>0.6</v>
      </c>
      <c r="K91" s="224">
        <v>60000</v>
      </c>
      <c r="L91" s="223">
        <v>0.6</v>
      </c>
      <c r="M91" s="224">
        <v>60000</v>
      </c>
    </row>
    <row r="92" spans="1:13" x14ac:dyDescent="0.2">
      <c r="A92" s="231">
        <v>1</v>
      </c>
      <c r="B92" s="221" t="s">
        <v>318</v>
      </c>
      <c r="C92" s="221" t="s">
        <v>711</v>
      </c>
      <c r="D92" s="222">
        <v>5625625</v>
      </c>
      <c r="E92" s="222">
        <v>813202</v>
      </c>
      <c r="F92" s="221" t="s">
        <v>710</v>
      </c>
      <c r="G92" s="221" t="s">
        <v>363</v>
      </c>
      <c r="H92" s="223">
        <v>0.6</v>
      </c>
      <c r="I92" s="224">
        <v>75000</v>
      </c>
      <c r="J92" s="223">
        <v>0.6</v>
      </c>
      <c r="K92" s="224">
        <v>75000</v>
      </c>
      <c r="L92" s="223">
        <v>0.6</v>
      </c>
      <c r="M92" s="224">
        <v>75000</v>
      </c>
    </row>
    <row r="93" spans="1:13" x14ac:dyDescent="0.2">
      <c r="A93" s="231">
        <v>1</v>
      </c>
      <c r="B93" s="221" t="s">
        <v>712</v>
      </c>
      <c r="C93" s="221" t="s">
        <v>713</v>
      </c>
      <c r="D93" s="222">
        <v>9999999</v>
      </c>
      <c r="E93" s="222">
        <v>813202</v>
      </c>
      <c r="F93" s="221" t="s">
        <v>710</v>
      </c>
      <c r="G93" s="221" t="s">
        <v>363</v>
      </c>
      <c r="H93" s="223">
        <v>0.6</v>
      </c>
      <c r="I93" s="224">
        <v>40000</v>
      </c>
      <c r="J93" s="223">
        <v>0.6</v>
      </c>
      <c r="K93" s="224">
        <v>40000</v>
      </c>
      <c r="L93" s="223">
        <v>0.6</v>
      </c>
      <c r="M93" s="224">
        <v>40000</v>
      </c>
    </row>
    <row r="94" spans="1:13" x14ac:dyDescent="0.2">
      <c r="A94" s="231">
        <v>1</v>
      </c>
      <c r="B94" s="221" t="s">
        <v>479</v>
      </c>
      <c r="C94" s="221" t="s">
        <v>714</v>
      </c>
      <c r="D94" s="222">
        <v>9999999</v>
      </c>
      <c r="E94" s="222">
        <v>813202</v>
      </c>
      <c r="F94" s="221" t="s">
        <v>710</v>
      </c>
      <c r="G94" s="221" t="s">
        <v>363</v>
      </c>
      <c r="H94" s="223">
        <v>0.6</v>
      </c>
      <c r="I94" s="224">
        <v>40000</v>
      </c>
      <c r="J94" s="223">
        <v>0.6</v>
      </c>
      <c r="K94" s="224">
        <v>40000</v>
      </c>
      <c r="L94" s="223">
        <v>0.6</v>
      </c>
      <c r="M94" s="224">
        <v>40000</v>
      </c>
    </row>
    <row r="95" spans="1:13" x14ac:dyDescent="0.2">
      <c r="A95" s="231">
        <v>1</v>
      </c>
      <c r="B95" s="221" t="s">
        <v>715</v>
      </c>
      <c r="C95" s="221" t="s">
        <v>716</v>
      </c>
      <c r="D95" s="222">
        <v>5947329</v>
      </c>
      <c r="E95" s="222">
        <v>813202</v>
      </c>
      <c r="F95" s="221" t="s">
        <v>710</v>
      </c>
      <c r="G95" s="221" t="s">
        <v>363</v>
      </c>
      <c r="H95" s="223" t="s">
        <v>419</v>
      </c>
      <c r="I95" s="224">
        <v>20000</v>
      </c>
      <c r="J95" s="223" t="s">
        <v>419</v>
      </c>
      <c r="K95" s="224">
        <v>20000</v>
      </c>
      <c r="L95" s="223" t="s">
        <v>419</v>
      </c>
      <c r="M95" s="224">
        <v>20000</v>
      </c>
    </row>
    <row r="96" spans="1:13" x14ac:dyDescent="0.2">
      <c r="A96" s="231">
        <v>1</v>
      </c>
      <c r="B96" s="221" t="s">
        <v>462</v>
      </c>
      <c r="C96" s="221" t="s">
        <v>717</v>
      </c>
      <c r="D96" s="222">
        <v>5760108</v>
      </c>
      <c r="E96" s="222">
        <v>813202</v>
      </c>
      <c r="F96" s="221" t="s">
        <v>695</v>
      </c>
      <c r="G96" s="221" t="s">
        <v>363</v>
      </c>
      <c r="H96" s="223">
        <v>0.6</v>
      </c>
      <c r="I96" s="224">
        <v>60000</v>
      </c>
      <c r="J96" s="223">
        <v>0.6</v>
      </c>
      <c r="K96" s="224">
        <v>60000</v>
      </c>
      <c r="L96" s="223">
        <v>0.6</v>
      </c>
      <c r="M96" s="224">
        <v>60000</v>
      </c>
    </row>
    <row r="97" spans="1:13" x14ac:dyDescent="0.2">
      <c r="A97" s="231">
        <v>1</v>
      </c>
      <c r="B97" s="221" t="s">
        <v>492</v>
      </c>
      <c r="C97" s="221" t="s">
        <v>718</v>
      </c>
      <c r="D97" s="222">
        <v>2833796</v>
      </c>
      <c r="E97" s="222">
        <v>813202</v>
      </c>
      <c r="F97" s="221" t="s">
        <v>695</v>
      </c>
      <c r="G97" s="221" t="s">
        <v>363</v>
      </c>
      <c r="H97" s="223">
        <v>0.6</v>
      </c>
      <c r="I97" s="224">
        <v>60000</v>
      </c>
      <c r="J97" s="223">
        <v>0.6</v>
      </c>
      <c r="K97" s="224">
        <v>60000</v>
      </c>
      <c r="L97" s="223">
        <v>0.6</v>
      </c>
      <c r="M97" s="224">
        <v>60000</v>
      </c>
    </row>
    <row r="98" spans="1:13" x14ac:dyDescent="0.2">
      <c r="A98" s="231">
        <v>1</v>
      </c>
      <c r="B98" s="221" t="s">
        <v>445</v>
      </c>
      <c r="C98" s="221" t="s">
        <v>719</v>
      </c>
      <c r="D98" s="222">
        <v>2750510</v>
      </c>
      <c r="E98" s="222">
        <v>813202</v>
      </c>
      <c r="F98" s="221" t="s">
        <v>695</v>
      </c>
      <c r="G98" s="221" t="s">
        <v>363</v>
      </c>
      <c r="H98" s="223">
        <v>0.6</v>
      </c>
      <c r="I98" s="224">
        <v>58000</v>
      </c>
      <c r="J98" s="223">
        <v>0.6</v>
      </c>
      <c r="K98" s="224">
        <v>58000</v>
      </c>
      <c r="L98" s="223">
        <v>0.6</v>
      </c>
      <c r="M98" s="224">
        <v>58000</v>
      </c>
    </row>
    <row r="99" spans="1:13" x14ac:dyDescent="0.2">
      <c r="A99" s="231">
        <v>1</v>
      </c>
      <c r="B99" s="221" t="s">
        <v>541</v>
      </c>
      <c r="C99" s="221" t="s">
        <v>720</v>
      </c>
      <c r="D99" s="222">
        <v>2977830</v>
      </c>
      <c r="E99" s="222">
        <v>813202</v>
      </c>
      <c r="F99" s="221" t="s">
        <v>695</v>
      </c>
      <c r="G99" s="221" t="s">
        <v>363</v>
      </c>
      <c r="H99" s="223">
        <v>0.6</v>
      </c>
      <c r="I99" s="224">
        <v>60000</v>
      </c>
      <c r="J99" s="223">
        <v>0.6</v>
      </c>
      <c r="K99" s="224">
        <v>60000</v>
      </c>
      <c r="L99" s="223">
        <v>0.6</v>
      </c>
      <c r="M99" s="224">
        <v>60000</v>
      </c>
    </row>
    <row r="100" spans="1:13" x14ac:dyDescent="0.2">
      <c r="A100" s="231"/>
      <c r="B100" s="221" t="s">
        <v>355</v>
      </c>
      <c r="C100" s="221" t="s">
        <v>721</v>
      </c>
      <c r="D100" s="222">
        <v>20055794</v>
      </c>
      <c r="E100" s="222">
        <v>813202</v>
      </c>
      <c r="F100" s="221" t="s">
        <v>695</v>
      </c>
      <c r="G100" s="221" t="s">
        <v>363</v>
      </c>
      <c r="H100" s="223">
        <v>0.6</v>
      </c>
      <c r="I100" s="224">
        <v>60000</v>
      </c>
      <c r="J100" s="223">
        <v>0</v>
      </c>
      <c r="K100" s="224">
        <v>0</v>
      </c>
      <c r="L100" s="223">
        <v>0</v>
      </c>
      <c r="M100" s="224">
        <v>0</v>
      </c>
    </row>
    <row r="101" spans="1:13" x14ac:dyDescent="0.2">
      <c r="A101" s="231">
        <v>1</v>
      </c>
      <c r="B101" s="221" t="s">
        <v>722</v>
      </c>
      <c r="C101" s="221" t="s">
        <v>525</v>
      </c>
      <c r="D101" s="222">
        <v>5947985</v>
      </c>
      <c r="E101" s="222">
        <v>813202</v>
      </c>
      <c r="F101" s="221" t="s">
        <v>723</v>
      </c>
      <c r="G101" s="221" t="s">
        <v>363</v>
      </c>
      <c r="H101" s="223">
        <v>0.6</v>
      </c>
      <c r="I101" s="224">
        <v>46000</v>
      </c>
      <c r="J101" s="223">
        <v>0.6</v>
      </c>
      <c r="K101" s="224">
        <v>46000</v>
      </c>
      <c r="L101" s="223">
        <v>0.6</v>
      </c>
      <c r="M101" s="224">
        <v>46000</v>
      </c>
    </row>
    <row r="102" spans="1:13" x14ac:dyDescent="0.2">
      <c r="A102" s="231">
        <v>1</v>
      </c>
      <c r="B102" s="221" t="s">
        <v>541</v>
      </c>
      <c r="C102" s="221" t="s">
        <v>724</v>
      </c>
      <c r="D102" s="222">
        <v>5443641</v>
      </c>
      <c r="E102" s="222">
        <v>813202</v>
      </c>
      <c r="F102" s="221" t="s">
        <v>723</v>
      </c>
      <c r="G102" s="221" t="s">
        <v>363</v>
      </c>
      <c r="H102" s="223">
        <v>0.6</v>
      </c>
      <c r="I102" s="224">
        <v>73000</v>
      </c>
      <c r="J102" s="223">
        <v>0.6</v>
      </c>
      <c r="K102" s="224">
        <v>73000</v>
      </c>
      <c r="L102" s="223">
        <v>0.6</v>
      </c>
      <c r="M102" s="224">
        <v>73000</v>
      </c>
    </row>
    <row r="103" spans="1:13" x14ac:dyDescent="0.2">
      <c r="A103" s="231">
        <v>1</v>
      </c>
      <c r="B103" s="221" t="s">
        <v>541</v>
      </c>
      <c r="C103" s="221" t="s">
        <v>725</v>
      </c>
      <c r="D103" s="222">
        <v>999999</v>
      </c>
      <c r="E103" s="222">
        <v>813202</v>
      </c>
      <c r="F103" s="221" t="s">
        <v>723</v>
      </c>
      <c r="G103" s="221" t="s">
        <v>363</v>
      </c>
      <c r="H103" s="223">
        <v>0.6</v>
      </c>
      <c r="I103" s="224">
        <v>55000</v>
      </c>
      <c r="J103" s="223">
        <v>0.6</v>
      </c>
      <c r="K103" s="224">
        <v>55000</v>
      </c>
      <c r="L103" s="223">
        <v>0.6</v>
      </c>
      <c r="M103" s="224">
        <v>55000</v>
      </c>
    </row>
    <row r="104" spans="1:13" x14ac:dyDescent="0.2">
      <c r="A104" s="231">
        <v>1</v>
      </c>
      <c r="B104" s="221" t="s">
        <v>428</v>
      </c>
      <c r="C104" s="221" t="s">
        <v>726</v>
      </c>
      <c r="D104" s="222">
        <v>5853061</v>
      </c>
      <c r="E104" s="222">
        <v>813202</v>
      </c>
      <c r="F104" s="221" t="s">
        <v>705</v>
      </c>
      <c r="G104" s="221" t="s">
        <v>363</v>
      </c>
      <c r="H104" s="223">
        <v>0.6</v>
      </c>
      <c r="I104" s="224">
        <v>40000</v>
      </c>
      <c r="J104" s="223">
        <v>0.6</v>
      </c>
      <c r="K104" s="224">
        <v>40000</v>
      </c>
      <c r="L104" s="223">
        <v>0.6</v>
      </c>
      <c r="M104" s="224">
        <v>40000</v>
      </c>
    </row>
    <row r="105" spans="1:13" x14ac:dyDescent="0.2">
      <c r="A105" s="231">
        <v>1</v>
      </c>
      <c r="B105" s="221" t="s">
        <v>465</v>
      </c>
      <c r="C105" s="221" t="s">
        <v>727</v>
      </c>
      <c r="D105" s="222">
        <v>2310870</v>
      </c>
      <c r="E105" s="222">
        <v>813202</v>
      </c>
      <c r="F105" s="221" t="s">
        <v>705</v>
      </c>
      <c r="G105" s="221" t="s">
        <v>363</v>
      </c>
      <c r="H105" s="223">
        <v>0.6</v>
      </c>
      <c r="I105" s="224">
        <v>60000</v>
      </c>
      <c r="J105" s="223">
        <v>0</v>
      </c>
      <c r="K105" s="224">
        <v>0</v>
      </c>
      <c r="L105" s="223">
        <v>0</v>
      </c>
      <c r="M105" s="224">
        <v>0</v>
      </c>
    </row>
    <row r="106" spans="1:13" x14ac:dyDescent="0.2">
      <c r="A106" s="231">
        <v>1</v>
      </c>
      <c r="B106" s="221" t="s">
        <v>603</v>
      </c>
      <c r="C106" s="221" t="s">
        <v>728</v>
      </c>
      <c r="D106" s="222">
        <v>2815163</v>
      </c>
      <c r="E106" s="222">
        <v>813202</v>
      </c>
      <c r="F106" s="221" t="s">
        <v>705</v>
      </c>
      <c r="G106" s="221" t="s">
        <v>363</v>
      </c>
      <c r="H106" s="223">
        <v>0.6</v>
      </c>
      <c r="I106" s="224">
        <v>55000</v>
      </c>
      <c r="J106" s="223">
        <v>0.6</v>
      </c>
      <c r="K106" s="224">
        <v>55000</v>
      </c>
      <c r="L106" s="223">
        <v>0.6</v>
      </c>
      <c r="M106" s="224">
        <v>55000</v>
      </c>
    </row>
    <row r="107" spans="1:13" x14ac:dyDescent="0.2">
      <c r="A107" s="231">
        <v>1</v>
      </c>
      <c r="B107" s="221" t="s">
        <v>729</v>
      </c>
      <c r="C107" s="221" t="s">
        <v>730</v>
      </c>
      <c r="D107" s="222">
        <v>20579819</v>
      </c>
      <c r="E107" s="222">
        <v>813202</v>
      </c>
      <c r="F107" s="221" t="s">
        <v>705</v>
      </c>
      <c r="G107" s="221" t="s">
        <v>363</v>
      </c>
      <c r="H107" s="223">
        <v>0.6</v>
      </c>
      <c r="I107" s="224">
        <v>45000</v>
      </c>
      <c r="J107" s="223">
        <v>0.6</v>
      </c>
      <c r="K107" s="224">
        <v>45000</v>
      </c>
      <c r="L107" s="223">
        <v>0.6</v>
      </c>
      <c r="M107" s="224">
        <v>45000</v>
      </c>
    </row>
    <row r="108" spans="1:13" x14ac:dyDescent="0.2">
      <c r="A108" s="231">
        <v>1</v>
      </c>
      <c r="B108" s="221" t="s">
        <v>554</v>
      </c>
      <c r="C108" s="221" t="s">
        <v>731</v>
      </c>
      <c r="D108" s="222">
        <v>5625569</v>
      </c>
      <c r="E108" s="222">
        <v>813202</v>
      </c>
      <c r="F108" s="221" t="s">
        <v>705</v>
      </c>
      <c r="G108" s="221" t="s">
        <v>363</v>
      </c>
      <c r="H108" s="223">
        <v>0.6</v>
      </c>
      <c r="I108" s="224">
        <v>45000</v>
      </c>
      <c r="J108" s="223">
        <v>0.6</v>
      </c>
      <c r="K108" s="224">
        <v>45000</v>
      </c>
      <c r="L108" s="223">
        <v>0.6</v>
      </c>
      <c r="M108" s="224">
        <v>45000</v>
      </c>
    </row>
    <row r="109" spans="1:13" x14ac:dyDescent="0.2">
      <c r="A109" s="247" t="s">
        <v>732</v>
      </c>
      <c r="B109" s="241"/>
      <c r="C109" s="241"/>
      <c r="D109" s="242"/>
      <c r="E109" s="242"/>
      <c r="F109" s="241"/>
      <c r="G109" s="241"/>
      <c r="H109" s="243"/>
      <c r="I109" s="244">
        <f>SUM(I91:I108)</f>
        <v>952000</v>
      </c>
      <c r="J109" s="243"/>
      <c r="K109" s="244">
        <f t="shared" ref="K109:M109" si="12">SUM(K91:K108)</f>
        <v>832000</v>
      </c>
      <c r="L109" s="243"/>
      <c r="M109" s="244">
        <f t="shared" si="12"/>
        <v>832000</v>
      </c>
    </row>
    <row r="110" spans="1:13" x14ac:dyDescent="0.2">
      <c r="A110" s="226">
        <v>1</v>
      </c>
      <c r="B110" s="227" t="s">
        <v>504</v>
      </c>
      <c r="C110" s="227" t="s">
        <v>733</v>
      </c>
      <c r="D110" s="228">
        <v>5517367</v>
      </c>
      <c r="E110" s="228">
        <v>813204</v>
      </c>
      <c r="F110" s="227" t="s">
        <v>734</v>
      </c>
      <c r="G110" s="227" t="s">
        <v>735</v>
      </c>
      <c r="H110" s="229">
        <v>0.6</v>
      </c>
      <c r="I110" s="224">
        <v>80000</v>
      </c>
      <c r="J110" s="229">
        <v>0.6</v>
      </c>
      <c r="K110" s="224">
        <v>80000</v>
      </c>
      <c r="L110" s="229">
        <v>0.6</v>
      </c>
      <c r="M110" s="224">
        <v>80000</v>
      </c>
    </row>
    <row r="111" spans="1:13" x14ac:dyDescent="0.2">
      <c r="A111" s="247" t="s">
        <v>736</v>
      </c>
      <c r="B111" s="259"/>
      <c r="C111" s="259"/>
      <c r="D111" s="260"/>
      <c r="E111" s="260"/>
      <c r="F111" s="259"/>
      <c r="G111" s="259"/>
      <c r="H111" s="261"/>
      <c r="I111" s="244">
        <f>SUM(I110)</f>
        <v>80000</v>
      </c>
      <c r="J111" s="261"/>
      <c r="K111" s="244">
        <f t="shared" ref="K111:M111" si="13">SUM(K110)</f>
        <v>80000</v>
      </c>
      <c r="L111" s="261"/>
      <c r="M111" s="244">
        <f t="shared" si="13"/>
        <v>80000</v>
      </c>
    </row>
    <row r="112" spans="1:13" s="245" customFormat="1" x14ac:dyDescent="0.2">
      <c r="A112" s="231">
        <v>1</v>
      </c>
      <c r="B112" s="221" t="s">
        <v>653</v>
      </c>
      <c r="C112" s="221" t="s">
        <v>653</v>
      </c>
      <c r="D112" s="222">
        <v>99999999</v>
      </c>
      <c r="E112" s="222">
        <v>813300</v>
      </c>
      <c r="F112" s="221" t="s">
        <v>737</v>
      </c>
      <c r="G112" s="221" t="s">
        <v>738</v>
      </c>
      <c r="H112" s="223" t="s">
        <v>347</v>
      </c>
      <c r="I112" s="224">
        <v>30000</v>
      </c>
      <c r="J112" s="223" t="s">
        <v>347</v>
      </c>
      <c r="K112" s="224">
        <v>30000</v>
      </c>
      <c r="L112" s="223" t="s">
        <v>347</v>
      </c>
      <c r="M112" s="224">
        <v>30000</v>
      </c>
    </row>
    <row r="113" spans="1:13" s="245" customFormat="1" x14ac:dyDescent="0.2">
      <c r="A113" s="231">
        <v>1</v>
      </c>
      <c r="B113" s="221" t="s">
        <v>367</v>
      </c>
      <c r="C113" s="221" t="s">
        <v>739</v>
      </c>
      <c r="D113" s="222">
        <v>30287672</v>
      </c>
      <c r="E113" s="222">
        <v>813300</v>
      </c>
      <c r="F113" s="221" t="s">
        <v>737</v>
      </c>
      <c r="G113" s="221" t="s">
        <v>740</v>
      </c>
      <c r="H113" s="223" t="s">
        <v>419</v>
      </c>
      <c r="I113" s="224">
        <v>40000</v>
      </c>
      <c r="J113" s="223" t="s">
        <v>419</v>
      </c>
      <c r="K113" s="224">
        <v>40000</v>
      </c>
      <c r="L113" s="223" t="s">
        <v>419</v>
      </c>
      <c r="M113" s="224">
        <v>40000</v>
      </c>
    </row>
    <row r="114" spans="1:13" x14ac:dyDescent="0.2">
      <c r="A114" s="231">
        <v>1</v>
      </c>
      <c r="B114" s="221" t="s">
        <v>741</v>
      </c>
      <c r="C114" s="221" t="s">
        <v>703</v>
      </c>
      <c r="D114" s="222">
        <v>2815420</v>
      </c>
      <c r="E114" s="222">
        <v>813300</v>
      </c>
      <c r="F114" s="221" t="s">
        <v>737</v>
      </c>
      <c r="G114" s="221" t="s">
        <v>742</v>
      </c>
      <c r="H114" s="223">
        <v>0.8</v>
      </c>
      <c r="I114" s="224">
        <v>82000</v>
      </c>
      <c r="J114" s="223">
        <v>0.8</v>
      </c>
      <c r="K114" s="224">
        <v>82000</v>
      </c>
      <c r="L114" s="223">
        <v>0.8</v>
      </c>
      <c r="M114" s="224">
        <v>82000</v>
      </c>
    </row>
    <row r="115" spans="1:13" x14ac:dyDescent="0.2">
      <c r="A115" s="231">
        <v>1</v>
      </c>
      <c r="B115" s="221" t="s">
        <v>743</v>
      </c>
      <c r="C115" s="221" t="s">
        <v>744</v>
      </c>
      <c r="D115" s="222">
        <v>3047586</v>
      </c>
      <c r="E115" s="222">
        <v>813300</v>
      </c>
      <c r="F115" s="221" t="s">
        <v>737</v>
      </c>
      <c r="G115" s="221" t="s">
        <v>742</v>
      </c>
      <c r="H115" s="223">
        <v>0.8</v>
      </c>
      <c r="I115" s="224">
        <v>80000</v>
      </c>
      <c r="J115" s="223">
        <v>0.8</v>
      </c>
      <c r="K115" s="224">
        <v>80000</v>
      </c>
      <c r="L115" s="223">
        <v>0.8</v>
      </c>
      <c r="M115" s="224">
        <v>80000</v>
      </c>
    </row>
    <row r="116" spans="1:13" x14ac:dyDescent="0.2">
      <c r="A116" s="231">
        <v>1</v>
      </c>
      <c r="B116" s="221" t="s">
        <v>428</v>
      </c>
      <c r="C116" s="221" t="s">
        <v>745</v>
      </c>
      <c r="D116" s="222">
        <v>3408418</v>
      </c>
      <c r="E116" s="222">
        <v>813300</v>
      </c>
      <c r="F116" s="221" t="s">
        <v>737</v>
      </c>
      <c r="G116" s="221" t="s">
        <v>746</v>
      </c>
      <c r="H116" s="223" t="s">
        <v>419</v>
      </c>
      <c r="I116" s="224">
        <v>50000</v>
      </c>
      <c r="J116" s="223" t="s">
        <v>419</v>
      </c>
      <c r="K116" s="224">
        <v>50000</v>
      </c>
      <c r="L116" s="223" t="s">
        <v>419</v>
      </c>
      <c r="M116" s="224">
        <v>50000</v>
      </c>
    </row>
    <row r="117" spans="1:13" x14ac:dyDescent="0.2">
      <c r="A117" s="231">
        <v>1</v>
      </c>
      <c r="B117" s="221" t="s">
        <v>479</v>
      </c>
      <c r="C117" s="221" t="s">
        <v>552</v>
      </c>
      <c r="D117" s="222">
        <v>2318947</v>
      </c>
      <c r="E117" s="222">
        <v>813300</v>
      </c>
      <c r="F117" s="221" t="s">
        <v>737</v>
      </c>
      <c r="G117" s="221" t="s">
        <v>747</v>
      </c>
      <c r="H117" s="223">
        <v>0.7</v>
      </c>
      <c r="I117" s="224">
        <v>80000</v>
      </c>
      <c r="J117" s="223">
        <v>0.7</v>
      </c>
      <c r="K117" s="224">
        <v>80000</v>
      </c>
      <c r="L117" s="223">
        <v>0.7</v>
      </c>
      <c r="M117" s="224">
        <v>80000</v>
      </c>
    </row>
    <row r="118" spans="1:13" x14ac:dyDescent="0.2">
      <c r="A118" s="231">
        <v>1</v>
      </c>
      <c r="B118" s="221" t="s">
        <v>318</v>
      </c>
      <c r="C118" s="221" t="s">
        <v>596</v>
      </c>
      <c r="D118" s="222">
        <v>2643576</v>
      </c>
      <c r="E118" s="222">
        <v>813300</v>
      </c>
      <c r="F118" s="221" t="s">
        <v>737</v>
      </c>
      <c r="G118" s="221" t="s">
        <v>747</v>
      </c>
      <c r="H118" s="223">
        <v>0.6</v>
      </c>
      <c r="I118" s="224">
        <v>80000</v>
      </c>
      <c r="J118" s="223">
        <v>0.6</v>
      </c>
      <c r="K118" s="224">
        <v>80000</v>
      </c>
      <c r="L118" s="223">
        <v>0.6</v>
      </c>
      <c r="M118" s="224">
        <v>80000</v>
      </c>
    </row>
    <row r="119" spans="1:13" x14ac:dyDescent="0.2">
      <c r="A119" s="231">
        <v>1</v>
      </c>
      <c r="B119" s="221" t="s">
        <v>479</v>
      </c>
      <c r="C119" s="221" t="s">
        <v>748</v>
      </c>
      <c r="D119" s="222">
        <v>2820879</v>
      </c>
      <c r="E119" s="222">
        <v>813300</v>
      </c>
      <c r="F119" s="221" t="s">
        <v>737</v>
      </c>
      <c r="G119" s="221" t="s">
        <v>747</v>
      </c>
      <c r="H119" s="223">
        <v>0.42</v>
      </c>
      <c r="I119" s="224">
        <v>45000</v>
      </c>
      <c r="J119" s="223">
        <v>0.42</v>
      </c>
      <c r="K119" s="224">
        <v>45000</v>
      </c>
      <c r="L119" s="223">
        <v>0.42</v>
      </c>
      <c r="M119" s="224">
        <v>45000</v>
      </c>
    </row>
    <row r="120" spans="1:13" x14ac:dyDescent="0.2">
      <c r="A120" s="231">
        <v>1</v>
      </c>
      <c r="B120" s="221" t="s">
        <v>356</v>
      </c>
      <c r="C120" s="221" t="s">
        <v>749</v>
      </c>
      <c r="D120" s="222">
        <v>3336177</v>
      </c>
      <c r="E120" s="222">
        <v>813300</v>
      </c>
      <c r="F120" s="221" t="s">
        <v>737</v>
      </c>
      <c r="G120" s="221" t="s">
        <v>750</v>
      </c>
      <c r="H120" s="223" t="s">
        <v>347</v>
      </c>
      <c r="I120" s="224">
        <v>43000</v>
      </c>
      <c r="J120" s="223" t="s">
        <v>347</v>
      </c>
      <c r="K120" s="224">
        <v>43000</v>
      </c>
      <c r="L120" s="223" t="s">
        <v>347</v>
      </c>
      <c r="M120" s="224">
        <v>43000</v>
      </c>
    </row>
    <row r="121" spans="1:13" x14ac:dyDescent="0.2">
      <c r="A121" s="231">
        <v>1</v>
      </c>
      <c r="B121" s="221" t="s">
        <v>541</v>
      </c>
      <c r="C121" s="221" t="s">
        <v>629</v>
      </c>
      <c r="D121" s="262">
        <v>5987470</v>
      </c>
      <c r="E121" s="222">
        <v>813300</v>
      </c>
      <c r="F121" s="221" t="s">
        <v>737</v>
      </c>
      <c r="G121" s="221" t="s">
        <v>751</v>
      </c>
      <c r="H121" s="223">
        <v>0.83</v>
      </c>
      <c r="I121" s="224">
        <v>82000</v>
      </c>
      <c r="J121" s="223">
        <v>0.83</v>
      </c>
      <c r="K121" s="224">
        <v>82000</v>
      </c>
      <c r="L121" s="223">
        <v>0.83</v>
      </c>
      <c r="M121" s="224">
        <v>82000</v>
      </c>
    </row>
    <row r="122" spans="1:13" x14ac:dyDescent="0.2">
      <c r="A122" s="231">
        <v>1</v>
      </c>
      <c r="B122" s="221" t="s">
        <v>752</v>
      </c>
      <c r="C122" s="221" t="s">
        <v>753</v>
      </c>
      <c r="D122" s="262">
        <v>5944677</v>
      </c>
      <c r="E122" s="222">
        <v>813300</v>
      </c>
      <c r="F122" s="221" t="s">
        <v>737</v>
      </c>
      <c r="G122" s="221" t="s">
        <v>751</v>
      </c>
      <c r="H122" s="223" t="s">
        <v>347</v>
      </c>
      <c r="I122" s="224">
        <v>25000</v>
      </c>
      <c r="J122" s="223" t="s">
        <v>347</v>
      </c>
      <c r="K122" s="224">
        <v>25000</v>
      </c>
      <c r="L122" s="223" t="s">
        <v>347</v>
      </c>
      <c r="M122" s="224">
        <v>25000</v>
      </c>
    </row>
    <row r="123" spans="1:13" x14ac:dyDescent="0.2">
      <c r="A123" s="231">
        <v>1</v>
      </c>
      <c r="B123" s="221" t="s">
        <v>754</v>
      </c>
      <c r="C123" s="221" t="s">
        <v>755</v>
      </c>
      <c r="D123" s="263">
        <v>31795457</v>
      </c>
      <c r="E123" s="263">
        <v>813300</v>
      </c>
      <c r="F123" s="221" t="s">
        <v>737</v>
      </c>
      <c r="G123" s="221" t="s">
        <v>751</v>
      </c>
      <c r="H123" s="223" t="s">
        <v>347</v>
      </c>
      <c r="I123" s="224">
        <v>32000</v>
      </c>
      <c r="J123" s="223" t="s">
        <v>347</v>
      </c>
      <c r="K123" s="224">
        <v>32000</v>
      </c>
      <c r="L123" s="223" t="s">
        <v>347</v>
      </c>
      <c r="M123" s="224">
        <v>32000</v>
      </c>
    </row>
    <row r="124" spans="1:13" s="245" customFormat="1" x14ac:dyDescent="0.2">
      <c r="A124" s="264" t="s">
        <v>756</v>
      </c>
      <c r="B124" s="265"/>
      <c r="C124" s="265"/>
      <c r="D124" s="266"/>
      <c r="E124" s="266"/>
      <c r="F124" s="265"/>
      <c r="G124" s="265"/>
      <c r="H124" s="261"/>
      <c r="I124" s="244">
        <f>SUM(I112:I123)</f>
        <v>669000</v>
      </c>
      <c r="J124" s="261"/>
      <c r="K124" s="244">
        <f t="shared" ref="K124:M124" si="14">SUM(K112:K123)</f>
        <v>669000</v>
      </c>
      <c r="L124" s="261"/>
      <c r="M124" s="244">
        <f t="shared" si="14"/>
        <v>669000</v>
      </c>
    </row>
    <row r="125" spans="1:13" s="245" customFormat="1" x14ac:dyDescent="0.2">
      <c r="A125" s="231">
        <v>1</v>
      </c>
      <c r="B125" s="221" t="s">
        <v>318</v>
      </c>
      <c r="C125" s="221" t="s">
        <v>757</v>
      </c>
      <c r="D125" s="222">
        <v>2622839</v>
      </c>
      <c r="E125" s="222">
        <v>813310</v>
      </c>
      <c r="F125" s="221" t="s">
        <v>737</v>
      </c>
      <c r="G125" s="221" t="s">
        <v>667</v>
      </c>
      <c r="H125" s="223" t="s">
        <v>347</v>
      </c>
      <c r="I125" s="224">
        <v>44000</v>
      </c>
      <c r="J125" s="223" t="s">
        <v>347</v>
      </c>
      <c r="K125" s="224">
        <v>44000</v>
      </c>
      <c r="L125" s="223" t="s">
        <v>347</v>
      </c>
      <c r="M125" s="224">
        <v>44000</v>
      </c>
    </row>
    <row r="126" spans="1:13" x14ac:dyDescent="0.2">
      <c r="A126" s="231">
        <v>1</v>
      </c>
      <c r="B126" s="221" t="s">
        <v>758</v>
      </c>
      <c r="C126" s="221" t="s">
        <v>716</v>
      </c>
      <c r="D126" s="222">
        <v>2643531</v>
      </c>
      <c r="E126" s="222">
        <v>813310</v>
      </c>
      <c r="F126" s="221" t="s">
        <v>737</v>
      </c>
      <c r="G126" s="221" t="s">
        <v>667</v>
      </c>
      <c r="H126" s="223" t="s">
        <v>347</v>
      </c>
      <c r="I126" s="224">
        <v>90000</v>
      </c>
      <c r="J126" s="223" t="s">
        <v>347</v>
      </c>
      <c r="K126" s="224">
        <v>90000</v>
      </c>
      <c r="L126" s="223" t="s">
        <v>347</v>
      </c>
      <c r="M126" s="224">
        <v>90000</v>
      </c>
    </row>
    <row r="127" spans="1:13" x14ac:dyDescent="0.2">
      <c r="A127" s="231">
        <v>1</v>
      </c>
      <c r="B127" s="221" t="s">
        <v>356</v>
      </c>
      <c r="C127" s="221" t="s">
        <v>759</v>
      </c>
      <c r="D127" s="222">
        <v>5944505</v>
      </c>
      <c r="E127" s="222">
        <v>813310</v>
      </c>
      <c r="F127" s="221" t="s">
        <v>737</v>
      </c>
      <c r="G127" s="221" t="s">
        <v>667</v>
      </c>
      <c r="H127" s="223">
        <v>0.8</v>
      </c>
      <c r="I127" s="224">
        <v>75000</v>
      </c>
      <c r="J127" s="223">
        <v>0.8</v>
      </c>
      <c r="K127" s="224">
        <v>75000</v>
      </c>
      <c r="L127" s="223">
        <v>0.8</v>
      </c>
      <c r="M127" s="224">
        <v>75000</v>
      </c>
    </row>
    <row r="128" spans="1:13" x14ac:dyDescent="0.2">
      <c r="A128" s="231">
        <v>1</v>
      </c>
      <c r="B128" s="221" t="s">
        <v>318</v>
      </c>
      <c r="C128" s="221" t="s">
        <v>757</v>
      </c>
      <c r="D128" s="222">
        <v>2622839</v>
      </c>
      <c r="E128" s="222">
        <v>813310</v>
      </c>
      <c r="F128" s="221" t="s">
        <v>737</v>
      </c>
      <c r="G128" s="221" t="s">
        <v>667</v>
      </c>
      <c r="H128" s="223" t="s">
        <v>347</v>
      </c>
      <c r="I128" s="224">
        <v>0</v>
      </c>
      <c r="J128" s="223" t="s">
        <v>347</v>
      </c>
      <c r="K128" s="224">
        <v>0</v>
      </c>
      <c r="L128" s="223" t="s">
        <v>347</v>
      </c>
      <c r="M128" s="224">
        <v>0</v>
      </c>
    </row>
    <row r="129" spans="1:13" x14ac:dyDescent="0.2">
      <c r="A129" s="231">
        <v>1</v>
      </c>
      <c r="B129" s="221" t="s">
        <v>644</v>
      </c>
      <c r="C129" s="221" t="s">
        <v>645</v>
      </c>
      <c r="D129" s="222">
        <v>3360162</v>
      </c>
      <c r="E129" s="222">
        <v>813310</v>
      </c>
      <c r="F129" s="221" t="s">
        <v>737</v>
      </c>
      <c r="G129" s="221" t="s">
        <v>667</v>
      </c>
      <c r="H129" s="223" t="s">
        <v>347</v>
      </c>
      <c r="I129" s="224">
        <v>0</v>
      </c>
      <c r="J129" s="223" t="s">
        <v>347</v>
      </c>
      <c r="K129" s="224">
        <v>0</v>
      </c>
      <c r="L129" s="223" t="s">
        <v>347</v>
      </c>
      <c r="M129" s="224">
        <v>0</v>
      </c>
    </row>
    <row r="130" spans="1:13" x14ac:dyDescent="0.2">
      <c r="A130" s="231">
        <v>1</v>
      </c>
      <c r="B130" s="221" t="s">
        <v>617</v>
      </c>
      <c r="C130" s="221" t="s">
        <v>600</v>
      </c>
      <c r="D130" s="222">
        <v>3472828</v>
      </c>
      <c r="E130" s="222">
        <v>813310</v>
      </c>
      <c r="F130" s="221" t="s">
        <v>737</v>
      </c>
      <c r="G130" s="221" t="s">
        <v>667</v>
      </c>
      <c r="H130" s="223" t="s">
        <v>347</v>
      </c>
      <c r="I130" s="224">
        <v>0</v>
      </c>
      <c r="J130" s="223" t="s">
        <v>347</v>
      </c>
      <c r="K130" s="224">
        <v>0</v>
      </c>
      <c r="L130" s="223" t="s">
        <v>347</v>
      </c>
      <c r="M130" s="224">
        <v>0</v>
      </c>
    </row>
    <row r="131" spans="1:13" x14ac:dyDescent="0.2">
      <c r="A131" s="231">
        <v>1</v>
      </c>
      <c r="B131" s="221" t="s">
        <v>760</v>
      </c>
      <c r="C131" s="221" t="s">
        <v>761</v>
      </c>
      <c r="D131" s="222">
        <v>3480322</v>
      </c>
      <c r="E131" s="222">
        <v>813310</v>
      </c>
      <c r="F131" s="221" t="s">
        <v>737</v>
      </c>
      <c r="G131" s="221" t="s">
        <v>667</v>
      </c>
      <c r="H131" s="223" t="s">
        <v>419</v>
      </c>
      <c r="I131" s="224">
        <v>50000</v>
      </c>
      <c r="J131" s="223" t="s">
        <v>419</v>
      </c>
      <c r="K131" s="224">
        <v>50000</v>
      </c>
      <c r="L131" s="223" t="s">
        <v>419</v>
      </c>
      <c r="M131" s="224">
        <v>50000</v>
      </c>
    </row>
    <row r="132" spans="1:13" x14ac:dyDescent="0.2">
      <c r="A132" s="240"/>
      <c r="B132" s="267"/>
      <c r="C132" s="267"/>
      <c r="D132" s="268"/>
      <c r="E132" s="268"/>
      <c r="F132" s="267"/>
      <c r="G132" s="267"/>
      <c r="H132" s="269"/>
      <c r="I132" s="244">
        <f>SUM(I125:I131)</f>
        <v>259000</v>
      </c>
      <c r="J132" s="269"/>
      <c r="K132" s="244">
        <f t="shared" ref="K132:M132" si="15">SUM(K125:K131)</f>
        <v>259000</v>
      </c>
      <c r="L132" s="269"/>
      <c r="M132" s="244">
        <f t="shared" si="15"/>
        <v>259000</v>
      </c>
    </row>
    <row r="133" spans="1:13" x14ac:dyDescent="0.2">
      <c r="A133" s="231">
        <v>1</v>
      </c>
      <c r="B133" s="221" t="s">
        <v>649</v>
      </c>
      <c r="C133" s="221" t="s">
        <v>762</v>
      </c>
      <c r="D133" s="222">
        <v>31795462</v>
      </c>
      <c r="E133" s="222">
        <v>813320</v>
      </c>
      <c r="F133" s="221" t="s">
        <v>737</v>
      </c>
      <c r="G133" s="221" t="s">
        <v>763</v>
      </c>
      <c r="H133" s="223" t="s">
        <v>347</v>
      </c>
      <c r="I133" s="248">
        <v>44000</v>
      </c>
      <c r="J133" s="223" t="s">
        <v>347</v>
      </c>
      <c r="K133" s="248">
        <v>44000</v>
      </c>
      <c r="L133" s="223" t="s">
        <v>347</v>
      </c>
      <c r="M133" s="248">
        <v>44000</v>
      </c>
    </row>
    <row r="134" spans="1:13" x14ac:dyDescent="0.2">
      <c r="A134" s="231">
        <v>1</v>
      </c>
      <c r="B134" s="227" t="s">
        <v>318</v>
      </c>
      <c r="C134" s="227" t="s">
        <v>764</v>
      </c>
      <c r="D134" s="228">
        <v>31637738</v>
      </c>
      <c r="E134" s="228">
        <v>813320</v>
      </c>
      <c r="F134" s="221" t="s">
        <v>737</v>
      </c>
      <c r="G134" s="221" t="s">
        <v>763</v>
      </c>
      <c r="H134" s="223" t="s">
        <v>419</v>
      </c>
      <c r="I134" s="224">
        <v>40000</v>
      </c>
      <c r="J134" s="223" t="s">
        <v>419</v>
      </c>
      <c r="K134" s="224">
        <v>40000</v>
      </c>
      <c r="L134" s="223" t="s">
        <v>419</v>
      </c>
      <c r="M134" s="224">
        <v>40000</v>
      </c>
    </row>
    <row r="135" spans="1:13" x14ac:dyDescent="0.2">
      <c r="A135" s="231">
        <v>1</v>
      </c>
      <c r="B135" s="221" t="s">
        <v>603</v>
      </c>
      <c r="C135" s="221" t="s">
        <v>765</v>
      </c>
      <c r="D135" s="222">
        <v>31501922</v>
      </c>
      <c r="E135" s="222">
        <v>813320</v>
      </c>
      <c r="F135" s="221" t="s">
        <v>737</v>
      </c>
      <c r="G135" s="221" t="s">
        <v>763</v>
      </c>
      <c r="H135" s="223" t="s">
        <v>347</v>
      </c>
      <c r="I135" s="248">
        <v>30000</v>
      </c>
      <c r="J135" s="223" t="s">
        <v>347</v>
      </c>
      <c r="K135" s="248">
        <v>30000</v>
      </c>
      <c r="L135" s="223" t="s">
        <v>347</v>
      </c>
      <c r="M135" s="248">
        <v>30000</v>
      </c>
    </row>
    <row r="136" spans="1:13" x14ac:dyDescent="0.2">
      <c r="A136" s="231">
        <v>1</v>
      </c>
      <c r="B136" s="221" t="s">
        <v>318</v>
      </c>
      <c r="C136" s="221" t="s">
        <v>766</v>
      </c>
      <c r="D136" s="222">
        <v>36935195</v>
      </c>
      <c r="E136" s="222">
        <v>813320</v>
      </c>
      <c r="F136" s="221" t="s">
        <v>737</v>
      </c>
      <c r="G136" s="221" t="s">
        <v>763</v>
      </c>
      <c r="H136" s="223" t="s">
        <v>347</v>
      </c>
      <c r="I136" s="248">
        <v>27000</v>
      </c>
      <c r="J136" s="223" t="s">
        <v>347</v>
      </c>
      <c r="K136" s="248">
        <v>27000</v>
      </c>
      <c r="L136" s="223" t="s">
        <v>347</v>
      </c>
      <c r="M136" s="248">
        <v>27000</v>
      </c>
    </row>
    <row r="137" spans="1:13" x14ac:dyDescent="0.2">
      <c r="A137" s="220">
        <v>1</v>
      </c>
      <c r="B137" s="221" t="s">
        <v>385</v>
      </c>
      <c r="C137" s="221" t="s">
        <v>767</v>
      </c>
      <c r="D137" s="222">
        <v>3590738</v>
      </c>
      <c r="E137" s="222">
        <v>813320</v>
      </c>
      <c r="F137" s="221" t="s">
        <v>737</v>
      </c>
      <c r="G137" s="221" t="s">
        <v>763</v>
      </c>
      <c r="H137" s="223" t="s">
        <v>347</v>
      </c>
      <c r="I137" s="224">
        <v>52000</v>
      </c>
      <c r="J137" s="223" t="s">
        <v>347</v>
      </c>
      <c r="K137" s="224">
        <v>52000</v>
      </c>
      <c r="L137" s="223" t="s">
        <v>347</v>
      </c>
      <c r="M137" s="224">
        <v>52000</v>
      </c>
    </row>
    <row r="138" spans="1:13" x14ac:dyDescent="0.2">
      <c r="A138" s="220">
        <v>127</v>
      </c>
      <c r="B138" s="221" t="s">
        <v>465</v>
      </c>
      <c r="C138" s="221" t="s">
        <v>768</v>
      </c>
      <c r="D138" s="222">
        <v>6287104</v>
      </c>
      <c r="E138" s="222">
        <v>813320</v>
      </c>
      <c r="F138" s="221" t="s">
        <v>737</v>
      </c>
      <c r="G138" s="221" t="s">
        <v>763</v>
      </c>
      <c r="H138" s="223" t="s">
        <v>347</v>
      </c>
      <c r="I138" s="224">
        <v>40000</v>
      </c>
      <c r="J138" s="223" t="s">
        <v>347</v>
      </c>
      <c r="K138" s="224">
        <v>40000</v>
      </c>
      <c r="L138" s="223" t="s">
        <v>347</v>
      </c>
      <c r="M138" s="224">
        <v>40000</v>
      </c>
    </row>
    <row r="139" spans="1:13" s="270" customFormat="1" x14ac:dyDescent="0.2">
      <c r="A139" s="220">
        <v>1</v>
      </c>
      <c r="B139" s="221" t="s">
        <v>390</v>
      </c>
      <c r="C139" s="221" t="s">
        <v>769</v>
      </c>
      <c r="D139" s="222">
        <v>6574078</v>
      </c>
      <c r="E139" s="222">
        <v>813320</v>
      </c>
      <c r="F139" s="221" t="s">
        <v>737</v>
      </c>
      <c r="G139" s="221" t="s">
        <v>763</v>
      </c>
      <c r="H139" s="223" t="s">
        <v>347</v>
      </c>
      <c r="I139" s="248">
        <v>25000</v>
      </c>
      <c r="J139" s="223" t="s">
        <v>347</v>
      </c>
      <c r="K139" s="248">
        <v>25000</v>
      </c>
      <c r="L139" s="223" t="s">
        <v>347</v>
      </c>
      <c r="M139" s="248">
        <v>25000</v>
      </c>
    </row>
    <row r="140" spans="1:13" s="270" customFormat="1" x14ac:dyDescent="0.2">
      <c r="A140" s="220">
        <v>1</v>
      </c>
      <c r="B140" s="221" t="s">
        <v>382</v>
      </c>
      <c r="C140" s="221" t="s">
        <v>733</v>
      </c>
      <c r="D140" s="222">
        <v>32163602</v>
      </c>
      <c r="E140" s="222">
        <v>813320</v>
      </c>
      <c r="F140" s="221" t="s">
        <v>737</v>
      </c>
      <c r="G140" s="221" t="s">
        <v>763</v>
      </c>
      <c r="H140" s="223" t="s">
        <v>347</v>
      </c>
      <c r="I140" s="248">
        <v>51000</v>
      </c>
      <c r="J140" s="223" t="s">
        <v>347</v>
      </c>
      <c r="K140" s="248">
        <v>51000</v>
      </c>
      <c r="L140" s="223" t="s">
        <v>347</v>
      </c>
      <c r="M140" s="248">
        <v>51000</v>
      </c>
    </row>
    <row r="141" spans="1:13" s="270" customFormat="1" x14ac:dyDescent="0.2">
      <c r="A141" s="220">
        <v>1</v>
      </c>
      <c r="B141" s="221" t="s">
        <v>770</v>
      </c>
      <c r="C141" s="221" t="s">
        <v>771</v>
      </c>
      <c r="D141" s="222">
        <v>30993796</v>
      </c>
      <c r="E141" s="222">
        <v>813320</v>
      </c>
      <c r="F141" s="221" t="s">
        <v>737</v>
      </c>
      <c r="G141" s="221" t="s">
        <v>763</v>
      </c>
      <c r="H141" s="223" t="s">
        <v>347</v>
      </c>
      <c r="I141" s="248">
        <v>44000</v>
      </c>
      <c r="J141" s="223" t="s">
        <v>347</v>
      </c>
      <c r="K141" s="248">
        <v>44000</v>
      </c>
      <c r="L141" s="223" t="s">
        <v>347</v>
      </c>
      <c r="M141" s="248">
        <v>44000</v>
      </c>
    </row>
    <row r="142" spans="1:13" s="270" customFormat="1" x14ac:dyDescent="0.2">
      <c r="A142" s="220">
        <v>1</v>
      </c>
      <c r="B142" s="221" t="s">
        <v>318</v>
      </c>
      <c r="C142" s="221" t="s">
        <v>642</v>
      </c>
      <c r="D142" s="222">
        <v>35845361</v>
      </c>
      <c r="E142" s="222">
        <v>813320</v>
      </c>
      <c r="F142" s="221" t="s">
        <v>737</v>
      </c>
      <c r="G142" s="221" t="s">
        <v>763</v>
      </c>
      <c r="H142" s="223" t="s">
        <v>419</v>
      </c>
      <c r="I142" s="224">
        <v>40000</v>
      </c>
      <c r="J142" s="223" t="s">
        <v>419</v>
      </c>
      <c r="K142" s="224">
        <v>40000</v>
      </c>
      <c r="L142" s="223" t="s">
        <v>419</v>
      </c>
      <c r="M142" s="224">
        <v>40000</v>
      </c>
    </row>
    <row r="143" spans="1:13" s="270" customFormat="1" x14ac:dyDescent="0.2">
      <c r="A143" s="220">
        <v>1</v>
      </c>
      <c r="B143" s="221" t="s">
        <v>722</v>
      </c>
      <c r="C143" s="221" t="s">
        <v>771</v>
      </c>
      <c r="D143" s="222">
        <v>30505631</v>
      </c>
      <c r="E143" s="222">
        <v>813320</v>
      </c>
      <c r="F143" s="221" t="s">
        <v>737</v>
      </c>
      <c r="G143" s="221" t="s">
        <v>763</v>
      </c>
      <c r="H143" s="223" t="s">
        <v>419</v>
      </c>
      <c r="I143" s="224">
        <v>50000</v>
      </c>
      <c r="J143" s="223" t="s">
        <v>419</v>
      </c>
      <c r="K143" s="224">
        <v>50000</v>
      </c>
      <c r="L143" s="223" t="s">
        <v>419</v>
      </c>
      <c r="M143" s="224">
        <v>50000</v>
      </c>
    </row>
    <row r="144" spans="1:13" s="270" customFormat="1" x14ac:dyDescent="0.2">
      <c r="A144" s="220">
        <v>1</v>
      </c>
      <c r="B144" s="227" t="s">
        <v>758</v>
      </c>
      <c r="C144" s="227" t="s">
        <v>716</v>
      </c>
      <c r="D144" s="228">
        <v>30993796</v>
      </c>
      <c r="E144" s="228">
        <v>813320</v>
      </c>
      <c r="F144" s="221" t="s">
        <v>737</v>
      </c>
      <c r="G144" s="221" t="s">
        <v>763</v>
      </c>
      <c r="H144" s="223" t="s">
        <v>419</v>
      </c>
      <c r="I144" s="224">
        <f>65000</f>
        <v>65000</v>
      </c>
      <c r="J144" s="223" t="s">
        <v>419</v>
      </c>
      <c r="K144" s="224">
        <f>65000</f>
        <v>65000</v>
      </c>
      <c r="L144" s="223" t="s">
        <v>419</v>
      </c>
      <c r="M144" s="224">
        <f>65000</f>
        <v>65000</v>
      </c>
    </row>
    <row r="145" spans="1:13" s="270" customFormat="1" x14ac:dyDescent="0.2">
      <c r="A145" s="220">
        <v>1</v>
      </c>
      <c r="B145" s="227" t="s">
        <v>772</v>
      </c>
      <c r="C145" s="227" t="s">
        <v>773</v>
      </c>
      <c r="D145" s="228">
        <v>32371500</v>
      </c>
      <c r="E145" s="228">
        <v>813320</v>
      </c>
      <c r="F145" s="221" t="s">
        <v>737</v>
      </c>
      <c r="G145" s="221" t="s">
        <v>763</v>
      </c>
      <c r="H145" s="223" t="s">
        <v>419</v>
      </c>
      <c r="I145" s="224">
        <v>40000</v>
      </c>
      <c r="J145" s="223" t="s">
        <v>419</v>
      </c>
      <c r="K145" s="224">
        <v>40000</v>
      </c>
      <c r="L145" s="223" t="s">
        <v>419</v>
      </c>
      <c r="M145" s="224">
        <v>40000</v>
      </c>
    </row>
    <row r="146" spans="1:13" s="270" customFormat="1" x14ac:dyDescent="0.2">
      <c r="A146" s="220">
        <v>1</v>
      </c>
      <c r="B146" s="227" t="s">
        <v>639</v>
      </c>
      <c r="C146" s="227" t="s">
        <v>774</v>
      </c>
      <c r="D146" s="228">
        <v>2618527</v>
      </c>
      <c r="E146" s="228">
        <v>813320</v>
      </c>
      <c r="F146" s="221" t="s">
        <v>737</v>
      </c>
      <c r="G146" s="221" t="s">
        <v>763</v>
      </c>
      <c r="H146" s="223" t="s">
        <v>419</v>
      </c>
      <c r="I146" s="224">
        <v>40000</v>
      </c>
      <c r="J146" s="223" t="s">
        <v>419</v>
      </c>
      <c r="K146" s="224">
        <v>40000</v>
      </c>
      <c r="L146" s="223" t="s">
        <v>419</v>
      </c>
      <c r="M146" s="224">
        <v>40000</v>
      </c>
    </row>
    <row r="147" spans="1:13" s="270" customFormat="1" x14ac:dyDescent="0.2">
      <c r="A147" s="271"/>
      <c r="B147" s="221" t="s">
        <v>557</v>
      </c>
      <c r="C147" s="227" t="s">
        <v>676</v>
      </c>
      <c r="D147" s="228">
        <v>9999999</v>
      </c>
      <c r="E147" s="228">
        <v>813320</v>
      </c>
      <c r="F147" s="221" t="s">
        <v>737</v>
      </c>
      <c r="G147" s="221" t="s">
        <v>763</v>
      </c>
      <c r="H147" s="223" t="s">
        <v>419</v>
      </c>
      <c r="I147" s="224">
        <v>152000</v>
      </c>
      <c r="J147" s="223" t="s">
        <v>419</v>
      </c>
      <c r="K147" s="224">
        <v>152000</v>
      </c>
      <c r="L147" s="223" t="s">
        <v>419</v>
      </c>
      <c r="M147" s="224">
        <v>152000</v>
      </c>
    </row>
    <row r="148" spans="1:13" x14ac:dyDescent="0.2">
      <c r="A148" s="247" t="s">
        <v>775</v>
      </c>
      <c r="B148" s="272"/>
      <c r="C148" s="259"/>
      <c r="D148" s="260"/>
      <c r="E148" s="260"/>
      <c r="F148" s="267"/>
      <c r="G148" s="267"/>
      <c r="H148" s="261"/>
      <c r="I148" s="244">
        <f>SUM(I133:I147)</f>
        <v>740000</v>
      </c>
      <c r="J148" s="261"/>
      <c r="K148" s="244">
        <f t="shared" ref="K148:M148" si="16">SUM(K133:K147)</f>
        <v>740000</v>
      </c>
      <c r="L148" s="261"/>
      <c r="M148" s="244">
        <f t="shared" si="16"/>
        <v>740000</v>
      </c>
    </row>
    <row r="149" spans="1:13" x14ac:dyDescent="0.2">
      <c r="A149" s="231">
        <v>1</v>
      </c>
      <c r="B149" s="221" t="s">
        <v>318</v>
      </c>
      <c r="C149" s="221" t="s">
        <v>776</v>
      </c>
      <c r="D149" s="222">
        <v>2328715</v>
      </c>
      <c r="E149" s="222">
        <v>814000</v>
      </c>
      <c r="F149" s="221" t="s">
        <v>777</v>
      </c>
      <c r="G149" s="221" t="s">
        <v>778</v>
      </c>
      <c r="H149" s="223">
        <v>0.6</v>
      </c>
      <c r="I149" s="224">
        <v>77000</v>
      </c>
      <c r="J149" s="223">
        <v>0.6</v>
      </c>
      <c r="K149" s="224">
        <v>77000</v>
      </c>
      <c r="L149" s="223">
        <v>0.6</v>
      </c>
      <c r="M149" s="224">
        <v>77000</v>
      </c>
    </row>
    <row r="150" spans="1:13" x14ac:dyDescent="0.2">
      <c r="A150" s="231">
        <v>1</v>
      </c>
      <c r="B150" s="221" t="s">
        <v>385</v>
      </c>
      <c r="C150" s="221" t="s">
        <v>525</v>
      </c>
      <c r="D150" s="222">
        <v>3311068</v>
      </c>
      <c r="E150" s="222">
        <v>814000</v>
      </c>
      <c r="F150" s="221" t="s">
        <v>777</v>
      </c>
      <c r="G150" s="221" t="s">
        <v>363</v>
      </c>
      <c r="H150" s="223">
        <v>0.6</v>
      </c>
      <c r="I150" s="224">
        <v>47000</v>
      </c>
      <c r="J150" s="223">
        <v>0.6</v>
      </c>
      <c r="K150" s="224">
        <v>47000</v>
      </c>
      <c r="L150" s="223">
        <v>0.6</v>
      </c>
      <c r="M150" s="224">
        <v>47000</v>
      </c>
    </row>
    <row r="151" spans="1:13" x14ac:dyDescent="0.2">
      <c r="A151" s="231">
        <v>1</v>
      </c>
      <c r="B151" s="221" t="s">
        <v>603</v>
      </c>
      <c r="C151" s="221" t="s">
        <v>745</v>
      </c>
      <c r="D151" s="222">
        <v>3945507</v>
      </c>
      <c r="E151" s="222">
        <v>814000</v>
      </c>
      <c r="F151" s="221" t="s">
        <v>777</v>
      </c>
      <c r="G151" s="221" t="s">
        <v>363</v>
      </c>
      <c r="H151" s="223">
        <v>0.6</v>
      </c>
      <c r="I151" s="224">
        <v>45000</v>
      </c>
      <c r="J151" s="223">
        <v>0.6</v>
      </c>
      <c r="K151" s="224">
        <v>45000</v>
      </c>
      <c r="L151" s="223">
        <v>0.6</v>
      </c>
      <c r="M151" s="224">
        <v>45000</v>
      </c>
    </row>
    <row r="152" spans="1:13" x14ac:dyDescent="0.2">
      <c r="A152" s="231">
        <v>1</v>
      </c>
      <c r="B152" s="221" t="s">
        <v>387</v>
      </c>
      <c r="C152" s="221" t="s">
        <v>472</v>
      </c>
      <c r="D152" s="222">
        <v>5043571</v>
      </c>
      <c r="E152" s="222">
        <v>814000</v>
      </c>
      <c r="F152" s="221" t="s">
        <v>777</v>
      </c>
      <c r="G152" s="221" t="s">
        <v>363</v>
      </c>
      <c r="H152" s="223">
        <v>0.6</v>
      </c>
      <c r="I152" s="224">
        <v>60000</v>
      </c>
      <c r="J152" s="223">
        <v>0.6</v>
      </c>
      <c r="K152" s="224">
        <v>60000</v>
      </c>
      <c r="L152" s="223">
        <v>0.6</v>
      </c>
      <c r="M152" s="224">
        <v>60000</v>
      </c>
    </row>
    <row r="153" spans="1:13" x14ac:dyDescent="0.2">
      <c r="A153" s="231">
        <v>1</v>
      </c>
      <c r="B153" s="221" t="s">
        <v>779</v>
      </c>
      <c r="C153" s="221" t="s">
        <v>780</v>
      </c>
      <c r="D153" s="222">
        <v>5439344</v>
      </c>
      <c r="E153" s="222">
        <v>814000</v>
      </c>
      <c r="F153" s="221" t="s">
        <v>777</v>
      </c>
      <c r="G153" s="221" t="s">
        <v>363</v>
      </c>
      <c r="H153" s="223">
        <v>0.6</v>
      </c>
      <c r="I153" s="224">
        <v>59000</v>
      </c>
      <c r="J153" s="223">
        <v>0.6</v>
      </c>
      <c r="K153" s="224">
        <v>59000</v>
      </c>
      <c r="L153" s="223">
        <v>0.6</v>
      </c>
      <c r="M153" s="224">
        <v>59000</v>
      </c>
    </row>
    <row r="154" spans="1:13" x14ac:dyDescent="0.2">
      <c r="A154" s="231">
        <v>1</v>
      </c>
      <c r="B154" s="221" t="s">
        <v>428</v>
      </c>
      <c r="C154" s="221" t="s">
        <v>781</v>
      </c>
      <c r="D154" s="222">
        <v>5581656</v>
      </c>
      <c r="E154" s="222">
        <v>814000</v>
      </c>
      <c r="F154" s="221" t="s">
        <v>777</v>
      </c>
      <c r="G154" s="221" t="s">
        <v>326</v>
      </c>
      <c r="H154" s="223" t="s">
        <v>419</v>
      </c>
      <c r="I154" s="224">
        <v>70000</v>
      </c>
      <c r="J154" s="223" t="s">
        <v>419</v>
      </c>
      <c r="K154" s="224">
        <v>70000</v>
      </c>
      <c r="L154" s="223" t="s">
        <v>419</v>
      </c>
      <c r="M154" s="224">
        <v>70000</v>
      </c>
    </row>
    <row r="155" spans="1:13" x14ac:dyDescent="0.2">
      <c r="A155" s="231">
        <v>1</v>
      </c>
      <c r="B155" s="221" t="s">
        <v>428</v>
      </c>
      <c r="C155" s="221" t="s">
        <v>782</v>
      </c>
      <c r="D155" s="222">
        <v>5631600</v>
      </c>
      <c r="E155" s="222">
        <v>814000</v>
      </c>
      <c r="F155" s="221" t="s">
        <v>777</v>
      </c>
      <c r="G155" s="221" t="s">
        <v>783</v>
      </c>
      <c r="H155" s="223">
        <v>0.6</v>
      </c>
      <c r="I155" s="224">
        <v>58000</v>
      </c>
      <c r="J155" s="223">
        <v>0.6</v>
      </c>
      <c r="K155" s="224">
        <v>58000</v>
      </c>
      <c r="L155" s="223">
        <v>0.6</v>
      </c>
      <c r="M155" s="224">
        <v>58000</v>
      </c>
    </row>
    <row r="156" spans="1:13" x14ac:dyDescent="0.2">
      <c r="A156" s="231">
        <v>1</v>
      </c>
      <c r="B156" s="221" t="s">
        <v>465</v>
      </c>
      <c r="C156" s="221" t="s">
        <v>784</v>
      </c>
      <c r="D156" s="222">
        <v>5897607</v>
      </c>
      <c r="E156" s="222">
        <v>814000</v>
      </c>
      <c r="F156" s="221" t="s">
        <v>777</v>
      </c>
      <c r="G156" s="221" t="s">
        <v>785</v>
      </c>
      <c r="H156" s="223">
        <v>1</v>
      </c>
      <c r="I156" s="224">
        <v>87000</v>
      </c>
      <c r="J156" s="223">
        <v>1</v>
      </c>
      <c r="K156" s="224">
        <v>87000</v>
      </c>
      <c r="L156" s="223">
        <v>1</v>
      </c>
      <c r="M156" s="224">
        <v>87000</v>
      </c>
    </row>
    <row r="157" spans="1:13" x14ac:dyDescent="0.2">
      <c r="A157" s="231">
        <v>1</v>
      </c>
      <c r="B157" s="221" t="s">
        <v>385</v>
      </c>
      <c r="C157" s="221" t="s">
        <v>786</v>
      </c>
      <c r="D157" s="222">
        <v>5897797</v>
      </c>
      <c r="E157" s="222">
        <v>814000</v>
      </c>
      <c r="F157" s="221" t="s">
        <v>777</v>
      </c>
      <c r="G157" s="221" t="s">
        <v>693</v>
      </c>
      <c r="H157" s="223">
        <v>1</v>
      </c>
      <c r="I157" s="224">
        <v>92000</v>
      </c>
      <c r="J157" s="223">
        <v>1</v>
      </c>
      <c r="K157" s="224">
        <v>92000</v>
      </c>
      <c r="L157" s="223">
        <v>1</v>
      </c>
      <c r="M157" s="224">
        <v>92000</v>
      </c>
    </row>
    <row r="158" spans="1:13" x14ac:dyDescent="0.2">
      <c r="A158" s="231">
        <v>1</v>
      </c>
      <c r="B158" s="221" t="s">
        <v>445</v>
      </c>
      <c r="C158" s="221" t="s">
        <v>787</v>
      </c>
      <c r="D158" s="222">
        <v>6623133</v>
      </c>
      <c r="E158" s="222">
        <v>814000</v>
      </c>
      <c r="F158" s="221" t="s">
        <v>777</v>
      </c>
      <c r="G158" s="221" t="s">
        <v>788</v>
      </c>
      <c r="H158" s="223">
        <v>0.6</v>
      </c>
      <c r="I158" s="224">
        <v>45000</v>
      </c>
      <c r="J158" s="223">
        <v>0.6</v>
      </c>
      <c r="K158" s="224">
        <v>45000</v>
      </c>
      <c r="L158" s="223">
        <v>0.6</v>
      </c>
      <c r="M158" s="224">
        <v>45000</v>
      </c>
    </row>
    <row r="159" spans="1:13" x14ac:dyDescent="0.2">
      <c r="A159" s="231">
        <v>1</v>
      </c>
      <c r="B159" s="221" t="s">
        <v>680</v>
      </c>
      <c r="C159" s="221" t="s">
        <v>371</v>
      </c>
      <c r="D159" s="222">
        <v>2827480</v>
      </c>
      <c r="E159" s="222">
        <v>814000</v>
      </c>
      <c r="F159" s="221" t="s">
        <v>777</v>
      </c>
      <c r="G159" s="221" t="s">
        <v>437</v>
      </c>
      <c r="H159" s="223">
        <v>0.68</v>
      </c>
      <c r="I159" s="224">
        <v>70000</v>
      </c>
      <c r="J159" s="223">
        <v>0.68</v>
      </c>
      <c r="K159" s="224">
        <v>70000</v>
      </c>
      <c r="L159" s="223">
        <v>0.68</v>
      </c>
      <c r="M159" s="224">
        <v>70000</v>
      </c>
    </row>
    <row r="160" spans="1:13" x14ac:dyDescent="0.2">
      <c r="A160" s="251">
        <v>1</v>
      </c>
      <c r="B160" s="221" t="s">
        <v>341</v>
      </c>
      <c r="C160" s="221" t="s">
        <v>552</v>
      </c>
      <c r="D160" s="222">
        <v>2319412</v>
      </c>
      <c r="E160" s="222">
        <v>814000</v>
      </c>
      <c r="F160" s="221" t="s">
        <v>789</v>
      </c>
      <c r="G160" s="221" t="s">
        <v>363</v>
      </c>
      <c r="H160" s="223">
        <v>0.6</v>
      </c>
      <c r="I160" s="224">
        <v>30000</v>
      </c>
      <c r="J160" s="223">
        <v>0.6</v>
      </c>
      <c r="K160" s="224">
        <v>30000</v>
      </c>
      <c r="L160" s="223">
        <v>0.6</v>
      </c>
      <c r="M160" s="224">
        <v>30000</v>
      </c>
    </row>
    <row r="161" spans="1:13" x14ac:dyDescent="0.2">
      <c r="A161" s="231">
        <v>1</v>
      </c>
      <c r="B161" s="237" t="s">
        <v>356</v>
      </c>
      <c r="C161" s="237" t="s">
        <v>790</v>
      </c>
      <c r="D161" s="238">
        <v>5992709</v>
      </c>
      <c r="E161" s="238">
        <v>814000</v>
      </c>
      <c r="F161" s="237" t="s">
        <v>791</v>
      </c>
      <c r="G161" s="237" t="s">
        <v>326</v>
      </c>
      <c r="H161" s="239">
        <v>0.75</v>
      </c>
      <c r="I161" s="224">
        <v>70000</v>
      </c>
      <c r="J161" s="239">
        <v>0.75</v>
      </c>
      <c r="K161" s="224">
        <v>70000</v>
      </c>
      <c r="L161" s="239">
        <v>0.75</v>
      </c>
      <c r="M161" s="224">
        <v>70000</v>
      </c>
    </row>
    <row r="162" spans="1:13" x14ac:dyDescent="0.2">
      <c r="A162" s="251">
        <v>1</v>
      </c>
      <c r="B162" s="221" t="s">
        <v>722</v>
      </c>
      <c r="C162" s="221" t="s">
        <v>511</v>
      </c>
      <c r="D162" s="222">
        <v>5581774</v>
      </c>
      <c r="E162" s="222">
        <v>814000</v>
      </c>
      <c r="F162" s="221" t="s">
        <v>791</v>
      </c>
      <c r="G162" s="221" t="s">
        <v>363</v>
      </c>
      <c r="H162" s="223">
        <v>0.6</v>
      </c>
      <c r="I162" s="249">
        <v>60000</v>
      </c>
      <c r="J162" s="223">
        <v>0.6</v>
      </c>
      <c r="K162" s="249">
        <v>60000</v>
      </c>
      <c r="L162" s="223">
        <v>0.6</v>
      </c>
      <c r="M162" s="249">
        <v>60000</v>
      </c>
    </row>
    <row r="163" spans="1:13" x14ac:dyDescent="0.2">
      <c r="A163" s="251">
        <v>1</v>
      </c>
      <c r="B163" s="221" t="s">
        <v>792</v>
      </c>
      <c r="C163" s="221" t="s">
        <v>793</v>
      </c>
      <c r="D163" s="222">
        <v>2635877</v>
      </c>
      <c r="E163" s="222">
        <v>814000</v>
      </c>
      <c r="F163" s="221" t="s">
        <v>791</v>
      </c>
      <c r="G163" s="221" t="s">
        <v>363</v>
      </c>
      <c r="H163" s="223">
        <v>0.6</v>
      </c>
      <c r="I163" s="224">
        <v>50000</v>
      </c>
      <c r="J163" s="223">
        <v>0.6</v>
      </c>
      <c r="K163" s="224">
        <v>50000</v>
      </c>
      <c r="L163" s="223">
        <v>0.6</v>
      </c>
      <c r="M163" s="224">
        <v>50000</v>
      </c>
    </row>
    <row r="164" spans="1:13" x14ac:dyDescent="0.2">
      <c r="A164" s="251">
        <v>1</v>
      </c>
      <c r="B164" s="221" t="s">
        <v>794</v>
      </c>
      <c r="C164" s="221" t="s">
        <v>795</v>
      </c>
      <c r="D164" s="222">
        <v>2824827</v>
      </c>
      <c r="E164" s="222">
        <v>814000</v>
      </c>
      <c r="F164" s="221" t="s">
        <v>791</v>
      </c>
      <c r="G164" s="221" t="s">
        <v>796</v>
      </c>
      <c r="H164" s="223">
        <v>1</v>
      </c>
      <c r="I164" s="224">
        <v>90000</v>
      </c>
      <c r="J164" s="223">
        <v>1</v>
      </c>
      <c r="K164" s="224">
        <v>90000</v>
      </c>
      <c r="L164" s="223">
        <v>1</v>
      </c>
      <c r="M164" s="224">
        <v>90000</v>
      </c>
    </row>
    <row r="165" spans="1:13" x14ac:dyDescent="0.2">
      <c r="A165" s="251">
        <v>1</v>
      </c>
      <c r="B165" s="221" t="s">
        <v>673</v>
      </c>
      <c r="C165" s="221" t="s">
        <v>621</v>
      </c>
      <c r="D165" s="222">
        <v>30137813</v>
      </c>
      <c r="E165" s="222">
        <v>814000</v>
      </c>
      <c r="F165" s="221" t="s">
        <v>791</v>
      </c>
      <c r="G165" s="221" t="s">
        <v>326</v>
      </c>
      <c r="H165" s="223" t="s">
        <v>419</v>
      </c>
      <c r="I165" s="224">
        <v>40000</v>
      </c>
      <c r="J165" s="223" t="s">
        <v>419</v>
      </c>
      <c r="K165" s="224">
        <v>40000</v>
      </c>
      <c r="L165" s="223" t="s">
        <v>419</v>
      </c>
      <c r="M165" s="224">
        <v>40000</v>
      </c>
    </row>
    <row r="166" spans="1:13" x14ac:dyDescent="0.2">
      <c r="A166" s="251"/>
      <c r="B166" s="221" t="s">
        <v>465</v>
      </c>
      <c r="C166" s="221" t="s">
        <v>727</v>
      </c>
      <c r="D166" s="222">
        <v>2310870</v>
      </c>
      <c r="E166" s="222">
        <v>814001</v>
      </c>
      <c r="F166" s="221" t="s">
        <v>791</v>
      </c>
      <c r="G166" s="221" t="s">
        <v>363</v>
      </c>
      <c r="H166" s="223">
        <v>0</v>
      </c>
      <c r="I166" s="224">
        <v>0</v>
      </c>
      <c r="J166" s="223" t="s">
        <v>419</v>
      </c>
      <c r="K166" s="224">
        <v>60000</v>
      </c>
      <c r="L166" s="223" t="s">
        <v>419</v>
      </c>
      <c r="M166" s="224">
        <v>60000</v>
      </c>
    </row>
    <row r="167" spans="1:13" x14ac:dyDescent="0.2">
      <c r="A167" s="247" t="s">
        <v>797</v>
      </c>
      <c r="B167" s="267"/>
      <c r="C167" s="267"/>
      <c r="D167" s="268"/>
      <c r="E167" s="268"/>
      <c r="F167" s="267"/>
      <c r="G167" s="267"/>
      <c r="H167" s="269"/>
      <c r="I167" s="244">
        <f>SUM(I149:I166)</f>
        <v>1050000</v>
      </c>
      <c r="J167" s="269"/>
      <c r="K167" s="244">
        <f t="shared" ref="K167:M167" si="17">SUM(K149:K166)</f>
        <v>1110000</v>
      </c>
      <c r="L167" s="269"/>
      <c r="M167" s="244">
        <f t="shared" si="17"/>
        <v>1110000</v>
      </c>
    </row>
    <row r="168" spans="1:13" x14ac:dyDescent="0.2">
      <c r="A168" s="251">
        <v>1</v>
      </c>
      <c r="B168" s="221" t="s">
        <v>798</v>
      </c>
      <c r="C168" s="221" t="s">
        <v>687</v>
      </c>
      <c r="D168" s="222">
        <v>9999999</v>
      </c>
      <c r="E168" s="222">
        <v>815200</v>
      </c>
      <c r="F168" s="221" t="s">
        <v>799</v>
      </c>
      <c r="G168" s="221" t="s">
        <v>800</v>
      </c>
      <c r="H168" s="223">
        <v>3.63</v>
      </c>
      <c r="I168" s="224">
        <v>610000</v>
      </c>
      <c r="J168" s="223">
        <v>3.63</v>
      </c>
      <c r="K168" s="224">
        <v>610000</v>
      </c>
      <c r="L168" s="223">
        <v>0</v>
      </c>
      <c r="M168" s="224">
        <v>0</v>
      </c>
    </row>
    <row r="169" spans="1:13" x14ac:dyDescent="0.2">
      <c r="A169" s="247" t="s">
        <v>801</v>
      </c>
      <c r="B169" s="267"/>
      <c r="C169" s="267"/>
      <c r="D169" s="268"/>
      <c r="E169" s="268"/>
      <c r="F169" s="267"/>
      <c r="G169" s="267"/>
      <c r="H169" s="269"/>
      <c r="I169" s="244">
        <f>SUM(I168)</f>
        <v>610000</v>
      </c>
      <c r="J169" s="269"/>
      <c r="K169" s="244">
        <f t="shared" ref="K169:M169" si="18">SUM(K168)</f>
        <v>610000</v>
      </c>
      <c r="L169" s="269"/>
      <c r="M169" s="244">
        <f t="shared" si="18"/>
        <v>0</v>
      </c>
    </row>
    <row r="170" spans="1:13" x14ac:dyDescent="0.2">
      <c r="A170" s="251">
        <v>1</v>
      </c>
      <c r="B170" s="221" t="s">
        <v>385</v>
      </c>
      <c r="C170" s="221" t="s">
        <v>482</v>
      </c>
      <c r="D170" s="222">
        <v>55177703</v>
      </c>
      <c r="E170" s="222">
        <v>817100</v>
      </c>
      <c r="F170" s="273" t="s">
        <v>802</v>
      </c>
      <c r="G170" s="221" t="s">
        <v>350</v>
      </c>
      <c r="H170" s="223">
        <v>0.5</v>
      </c>
      <c r="I170" s="224">
        <v>70000</v>
      </c>
      <c r="J170" s="223">
        <v>0.5</v>
      </c>
      <c r="K170" s="224">
        <v>70000</v>
      </c>
      <c r="L170" s="223">
        <v>0.5</v>
      </c>
      <c r="M170" s="224">
        <v>70000</v>
      </c>
    </row>
    <row r="171" spans="1:13" x14ac:dyDescent="0.2">
      <c r="A171" s="247" t="s">
        <v>803</v>
      </c>
      <c r="B171" s="267"/>
      <c r="C171" s="267"/>
      <c r="D171" s="268"/>
      <c r="E171" s="268"/>
      <c r="F171" s="267"/>
      <c r="G171" s="267"/>
      <c r="H171" s="269"/>
      <c r="I171" s="244">
        <f>SUM(I170)</f>
        <v>70000</v>
      </c>
      <c r="J171" s="269"/>
      <c r="K171" s="244">
        <f t="shared" ref="K171:M171" si="19">SUM(K170)</f>
        <v>70000</v>
      </c>
      <c r="L171" s="269"/>
      <c r="M171" s="244">
        <f t="shared" si="19"/>
        <v>70000</v>
      </c>
    </row>
    <row r="172" spans="1:13" x14ac:dyDescent="0.2">
      <c r="A172" s="274">
        <v>1</v>
      </c>
      <c r="B172" s="221" t="s">
        <v>557</v>
      </c>
      <c r="C172" s="221" t="s">
        <v>687</v>
      </c>
      <c r="D172" s="222">
        <v>9999999</v>
      </c>
      <c r="E172" s="222">
        <v>817120</v>
      </c>
      <c r="F172" s="221" t="s">
        <v>804</v>
      </c>
      <c r="G172" s="221" t="s">
        <v>805</v>
      </c>
      <c r="H172" s="223" t="s">
        <v>347</v>
      </c>
      <c r="I172" s="224">
        <v>40000</v>
      </c>
      <c r="J172" s="223" t="s">
        <v>347</v>
      </c>
      <c r="K172" s="224">
        <v>40000</v>
      </c>
      <c r="L172" s="223" t="s">
        <v>347</v>
      </c>
      <c r="M172" s="224">
        <v>40000</v>
      </c>
    </row>
    <row r="173" spans="1:13" x14ac:dyDescent="0.2">
      <c r="A173" s="247"/>
      <c r="B173" s="267"/>
      <c r="C173" s="267"/>
      <c r="D173" s="268"/>
      <c r="E173" s="268"/>
      <c r="F173" s="267"/>
      <c r="G173" s="267"/>
      <c r="H173" s="269"/>
      <c r="I173" s="244">
        <f>SUM(I172)</f>
        <v>40000</v>
      </c>
      <c r="J173" s="269"/>
      <c r="K173" s="244">
        <f t="shared" ref="K173:M173" si="20">SUM(K172)</f>
        <v>40000</v>
      </c>
      <c r="L173" s="269"/>
      <c r="M173" s="244">
        <f t="shared" si="20"/>
        <v>40000</v>
      </c>
    </row>
    <row r="174" spans="1:13" x14ac:dyDescent="0.2">
      <c r="A174" s="251">
        <v>1</v>
      </c>
      <c r="B174" s="221" t="s">
        <v>365</v>
      </c>
      <c r="C174" s="221" t="s">
        <v>806</v>
      </c>
      <c r="D174" s="222">
        <v>2587620</v>
      </c>
      <c r="E174" s="222">
        <v>817200</v>
      </c>
      <c r="F174" s="273" t="s">
        <v>807</v>
      </c>
      <c r="G174" s="221" t="s">
        <v>363</v>
      </c>
      <c r="H174" s="223">
        <v>0.6</v>
      </c>
      <c r="I174" s="224">
        <v>46000</v>
      </c>
      <c r="J174" s="223">
        <v>0.6</v>
      </c>
      <c r="K174" s="224">
        <v>46000</v>
      </c>
      <c r="L174" s="223">
        <v>0.6</v>
      </c>
      <c r="M174" s="224">
        <v>46000</v>
      </c>
    </row>
    <row r="175" spans="1:13" x14ac:dyDescent="0.2">
      <c r="A175" s="247" t="s">
        <v>808</v>
      </c>
      <c r="B175" s="267"/>
      <c r="C175" s="267"/>
      <c r="D175" s="268"/>
      <c r="E175" s="268"/>
      <c r="F175" s="267"/>
      <c r="G175" s="267"/>
      <c r="H175" s="269"/>
      <c r="I175" s="244">
        <f>SUM(I174)</f>
        <v>46000</v>
      </c>
      <c r="J175" s="269"/>
      <c r="K175" s="244">
        <f t="shared" ref="K175:M175" si="21">SUM(K174)</f>
        <v>46000</v>
      </c>
      <c r="L175" s="269"/>
      <c r="M175" s="244">
        <f t="shared" si="21"/>
        <v>46000</v>
      </c>
    </row>
    <row r="176" spans="1:13" x14ac:dyDescent="0.2">
      <c r="A176" s="251">
        <v>1</v>
      </c>
      <c r="B176" s="221" t="s">
        <v>809</v>
      </c>
      <c r="C176" s="221" t="s">
        <v>810</v>
      </c>
      <c r="D176" s="222">
        <v>2160044</v>
      </c>
      <c r="E176" s="222">
        <v>817300</v>
      </c>
      <c r="F176" s="221" t="s">
        <v>811</v>
      </c>
      <c r="G176" s="221" t="s">
        <v>812</v>
      </c>
      <c r="H176" s="223">
        <v>0.5</v>
      </c>
      <c r="I176" s="224">
        <v>62000</v>
      </c>
      <c r="J176" s="223">
        <v>0.5</v>
      </c>
      <c r="K176" s="224">
        <v>62000</v>
      </c>
      <c r="L176" s="223">
        <v>0.5</v>
      </c>
      <c r="M176" s="224">
        <v>62000</v>
      </c>
    </row>
    <row r="177" spans="1:13" x14ac:dyDescent="0.2">
      <c r="A177" s="251">
        <v>1</v>
      </c>
      <c r="B177" s="221" t="s">
        <v>813</v>
      </c>
      <c r="C177" s="221" t="s">
        <v>544</v>
      </c>
      <c r="D177" s="222">
        <v>2982886</v>
      </c>
      <c r="E177" s="222">
        <v>817300</v>
      </c>
      <c r="F177" s="221" t="s">
        <v>811</v>
      </c>
      <c r="G177" s="221" t="s">
        <v>812</v>
      </c>
      <c r="H177" s="223">
        <v>0.5</v>
      </c>
      <c r="I177" s="224">
        <v>66000</v>
      </c>
      <c r="J177" s="223">
        <v>0.5</v>
      </c>
      <c r="K177" s="224">
        <v>66000</v>
      </c>
      <c r="L177" s="223">
        <v>0.5</v>
      </c>
      <c r="M177" s="224">
        <v>66000</v>
      </c>
    </row>
    <row r="178" spans="1:13" x14ac:dyDescent="0.2">
      <c r="A178" s="251">
        <v>1</v>
      </c>
      <c r="B178" s="221" t="s">
        <v>814</v>
      </c>
      <c r="C178" s="221" t="s">
        <v>815</v>
      </c>
      <c r="D178" s="222">
        <v>3290212</v>
      </c>
      <c r="E178" s="222">
        <v>817300</v>
      </c>
      <c r="F178" s="221" t="s">
        <v>811</v>
      </c>
      <c r="G178" s="221" t="s">
        <v>812</v>
      </c>
      <c r="H178" s="223">
        <v>0.5</v>
      </c>
      <c r="I178" s="224">
        <v>70000</v>
      </c>
      <c r="J178" s="223">
        <v>0.5</v>
      </c>
      <c r="K178" s="224">
        <v>70000</v>
      </c>
      <c r="L178" s="223">
        <v>0.5</v>
      </c>
      <c r="M178" s="224">
        <v>70000</v>
      </c>
    </row>
    <row r="179" spans="1:13" x14ac:dyDescent="0.2">
      <c r="A179" s="251">
        <v>1</v>
      </c>
      <c r="B179" s="221" t="s">
        <v>816</v>
      </c>
      <c r="C179" s="221" t="s">
        <v>817</v>
      </c>
      <c r="D179" s="222">
        <v>9999999</v>
      </c>
      <c r="E179" s="222">
        <v>817300</v>
      </c>
      <c r="F179" s="221" t="s">
        <v>811</v>
      </c>
      <c r="G179" s="221" t="s">
        <v>812</v>
      </c>
      <c r="H179" s="223">
        <v>0.5</v>
      </c>
      <c r="I179" s="224">
        <v>60000</v>
      </c>
      <c r="J179" s="223">
        <v>0.5</v>
      </c>
      <c r="K179" s="224">
        <v>60000</v>
      </c>
      <c r="L179" s="223">
        <v>0.5</v>
      </c>
      <c r="M179" s="224">
        <v>60000</v>
      </c>
    </row>
    <row r="180" spans="1:13" x14ac:dyDescent="0.2">
      <c r="A180" s="251">
        <v>1</v>
      </c>
      <c r="B180" s="221" t="s">
        <v>818</v>
      </c>
      <c r="C180" s="221" t="s">
        <v>819</v>
      </c>
      <c r="D180" s="222">
        <v>5702429</v>
      </c>
      <c r="E180" s="222">
        <v>817300</v>
      </c>
      <c r="F180" s="221" t="s">
        <v>811</v>
      </c>
      <c r="G180" s="221" t="s">
        <v>812</v>
      </c>
      <c r="H180" s="223">
        <v>0.75</v>
      </c>
      <c r="I180" s="224">
        <v>170000</v>
      </c>
      <c r="J180" s="223">
        <v>0.75</v>
      </c>
      <c r="K180" s="224">
        <v>170000</v>
      </c>
      <c r="L180" s="223">
        <v>0.75</v>
      </c>
      <c r="M180" s="224">
        <v>170000</v>
      </c>
    </row>
    <row r="181" spans="1:13" x14ac:dyDescent="0.2">
      <c r="A181" s="251">
        <v>1</v>
      </c>
      <c r="B181" s="221" t="s">
        <v>465</v>
      </c>
      <c r="C181" s="221" t="s">
        <v>820</v>
      </c>
      <c r="D181" s="222">
        <v>5944901</v>
      </c>
      <c r="E181" s="222">
        <v>817300</v>
      </c>
      <c r="F181" s="221" t="s">
        <v>811</v>
      </c>
      <c r="G181" s="221" t="s">
        <v>326</v>
      </c>
      <c r="H181" s="223">
        <v>0.75</v>
      </c>
      <c r="I181" s="224">
        <v>81000</v>
      </c>
      <c r="J181" s="223">
        <v>0.75</v>
      </c>
      <c r="K181" s="224">
        <v>81000</v>
      </c>
      <c r="L181" s="223">
        <v>0.75</v>
      </c>
      <c r="M181" s="224">
        <v>81000</v>
      </c>
    </row>
    <row r="182" spans="1:13" x14ac:dyDescent="0.2">
      <c r="A182" s="251">
        <v>1</v>
      </c>
      <c r="B182" s="221" t="s">
        <v>821</v>
      </c>
      <c r="C182" s="221" t="s">
        <v>822</v>
      </c>
      <c r="D182" s="222">
        <v>20060908</v>
      </c>
      <c r="E182" s="222">
        <v>817300</v>
      </c>
      <c r="F182" s="221" t="s">
        <v>811</v>
      </c>
      <c r="G182" s="221" t="s">
        <v>812</v>
      </c>
      <c r="H182" s="223">
        <v>0.5</v>
      </c>
      <c r="I182" s="224">
        <v>64000</v>
      </c>
      <c r="J182" s="223">
        <v>0.5</v>
      </c>
      <c r="K182" s="224">
        <v>64000</v>
      </c>
      <c r="L182" s="223">
        <v>0.5</v>
      </c>
      <c r="M182" s="224">
        <v>64000</v>
      </c>
    </row>
    <row r="183" spans="1:13" x14ac:dyDescent="0.2">
      <c r="A183" s="251">
        <v>1</v>
      </c>
      <c r="B183" s="221" t="s">
        <v>823</v>
      </c>
      <c r="C183" s="221" t="s">
        <v>685</v>
      </c>
      <c r="D183" s="222">
        <v>6604546</v>
      </c>
      <c r="E183" s="222">
        <v>817300</v>
      </c>
      <c r="F183" s="221" t="s">
        <v>811</v>
      </c>
      <c r="G183" s="221" t="s">
        <v>812</v>
      </c>
      <c r="H183" s="223">
        <v>0.5</v>
      </c>
      <c r="I183" s="224">
        <v>66000</v>
      </c>
      <c r="J183" s="223">
        <v>0.5</v>
      </c>
      <c r="K183" s="224">
        <v>66000</v>
      </c>
      <c r="L183" s="223">
        <v>0.5</v>
      </c>
      <c r="M183" s="224">
        <v>66000</v>
      </c>
    </row>
    <row r="184" spans="1:13" x14ac:dyDescent="0.2">
      <c r="A184" s="251"/>
      <c r="B184" s="221" t="s">
        <v>355</v>
      </c>
      <c r="C184" s="246" t="s">
        <v>721</v>
      </c>
      <c r="D184" s="222">
        <v>20055794</v>
      </c>
      <c r="E184" s="256">
        <v>817300</v>
      </c>
      <c r="F184" s="246" t="s">
        <v>811</v>
      </c>
      <c r="G184" s="246" t="s">
        <v>363</v>
      </c>
      <c r="H184" s="257">
        <v>0.6</v>
      </c>
      <c r="I184" s="258">
        <v>68000</v>
      </c>
      <c r="J184" s="257">
        <v>0.6</v>
      </c>
      <c r="K184" s="258">
        <v>68000</v>
      </c>
      <c r="L184" s="257">
        <v>0.6</v>
      </c>
      <c r="M184" s="258">
        <v>68000</v>
      </c>
    </row>
    <row r="185" spans="1:13" x14ac:dyDescent="0.2">
      <c r="A185" s="247" t="s">
        <v>824</v>
      </c>
      <c r="B185" s="267"/>
      <c r="C185" s="267"/>
      <c r="D185" s="268"/>
      <c r="E185" s="268"/>
      <c r="F185" s="267"/>
      <c r="G185" s="267"/>
      <c r="H185" s="269"/>
      <c r="I185" s="244">
        <f>SUM(I176:I184)</f>
        <v>707000</v>
      </c>
      <c r="J185" s="269"/>
      <c r="K185" s="244">
        <f t="shared" ref="K185:M185" si="22">SUM(K176:K184)</f>
        <v>707000</v>
      </c>
      <c r="L185" s="269"/>
      <c r="M185" s="244">
        <f t="shared" si="22"/>
        <v>707000</v>
      </c>
    </row>
    <row r="186" spans="1:13" x14ac:dyDescent="0.2">
      <c r="A186" s="251">
        <v>1</v>
      </c>
      <c r="B186" s="221" t="s">
        <v>825</v>
      </c>
      <c r="C186" s="221" t="s">
        <v>826</v>
      </c>
      <c r="D186" s="222">
        <v>5078925</v>
      </c>
      <c r="E186" s="222">
        <v>817600</v>
      </c>
      <c r="F186" s="221" t="s">
        <v>827</v>
      </c>
      <c r="G186" s="221" t="s">
        <v>828</v>
      </c>
      <c r="H186" s="223">
        <v>0.83</v>
      </c>
      <c r="I186" s="224">
        <v>74000</v>
      </c>
      <c r="J186" s="223">
        <v>0.83</v>
      </c>
      <c r="K186" s="224">
        <v>74000</v>
      </c>
      <c r="L186" s="223">
        <v>0.83</v>
      </c>
      <c r="M186" s="224">
        <v>74000</v>
      </c>
    </row>
    <row r="187" spans="1:13" x14ac:dyDescent="0.2">
      <c r="A187" s="251">
        <v>1</v>
      </c>
      <c r="B187" s="221" t="s">
        <v>428</v>
      </c>
      <c r="C187" s="221" t="s">
        <v>720</v>
      </c>
      <c r="D187" s="222">
        <v>5250803</v>
      </c>
      <c r="E187" s="222">
        <v>817600</v>
      </c>
      <c r="F187" s="221" t="s">
        <v>827</v>
      </c>
      <c r="G187" s="221" t="s">
        <v>655</v>
      </c>
      <c r="H187" s="223">
        <v>1</v>
      </c>
      <c r="I187" s="224">
        <v>90000</v>
      </c>
      <c r="J187" s="223">
        <v>1</v>
      </c>
      <c r="K187" s="224">
        <v>90000</v>
      </c>
      <c r="L187" s="223">
        <v>1</v>
      </c>
      <c r="M187" s="224">
        <v>90000</v>
      </c>
    </row>
    <row r="188" spans="1:13" x14ac:dyDescent="0.2">
      <c r="A188" s="247" t="s">
        <v>829</v>
      </c>
      <c r="B188" s="267"/>
      <c r="C188" s="267"/>
      <c r="D188" s="268"/>
      <c r="E188" s="268"/>
      <c r="F188" s="267"/>
      <c r="G188" s="267"/>
      <c r="H188" s="269"/>
      <c r="I188" s="244">
        <f>SUM(I186:I187)</f>
        <v>164000</v>
      </c>
      <c r="J188" s="269"/>
      <c r="K188" s="244">
        <f t="shared" ref="K188:M188" si="23">SUM(K186:K187)</f>
        <v>164000</v>
      </c>
      <c r="L188" s="269"/>
      <c r="M188" s="244">
        <f t="shared" si="23"/>
        <v>164000</v>
      </c>
    </row>
    <row r="189" spans="1:13" x14ac:dyDescent="0.2">
      <c r="A189" s="251">
        <v>1</v>
      </c>
      <c r="B189" s="221" t="s">
        <v>428</v>
      </c>
      <c r="C189" s="221" t="s">
        <v>830</v>
      </c>
      <c r="D189" s="222">
        <v>2635430</v>
      </c>
      <c r="E189" s="222">
        <v>817700</v>
      </c>
      <c r="F189" s="221" t="s">
        <v>802</v>
      </c>
      <c r="G189" s="221" t="s">
        <v>831</v>
      </c>
      <c r="H189" s="223">
        <v>0.6</v>
      </c>
      <c r="I189" s="224">
        <v>70000</v>
      </c>
      <c r="J189" s="223">
        <v>0.6</v>
      </c>
      <c r="K189" s="224">
        <v>70000</v>
      </c>
      <c r="L189" s="223">
        <v>0.6</v>
      </c>
      <c r="M189" s="224">
        <v>70000</v>
      </c>
    </row>
    <row r="190" spans="1:13" x14ac:dyDescent="0.2">
      <c r="A190" s="251">
        <v>1</v>
      </c>
      <c r="B190" s="221" t="s">
        <v>832</v>
      </c>
      <c r="C190" s="221" t="s">
        <v>832</v>
      </c>
      <c r="D190" s="222">
        <v>999999</v>
      </c>
      <c r="E190" s="222">
        <v>817700</v>
      </c>
      <c r="F190" s="221" t="s">
        <v>802</v>
      </c>
      <c r="G190" s="221" t="s">
        <v>833</v>
      </c>
      <c r="H190" s="223">
        <v>0.5</v>
      </c>
      <c r="I190" s="224">
        <v>60000</v>
      </c>
      <c r="J190" s="223">
        <v>0.5</v>
      </c>
      <c r="K190" s="224">
        <v>60000</v>
      </c>
      <c r="L190" s="223">
        <v>0.5</v>
      </c>
      <c r="M190" s="224">
        <v>60000</v>
      </c>
    </row>
    <row r="191" spans="1:13" x14ac:dyDescent="0.2">
      <c r="A191" s="247" t="s">
        <v>834</v>
      </c>
      <c r="B191" s="267"/>
      <c r="C191" s="267"/>
      <c r="D191" s="268"/>
      <c r="E191" s="268"/>
      <c r="F191" s="267"/>
      <c r="G191" s="267"/>
      <c r="H191" s="269"/>
      <c r="I191" s="244">
        <f>SUM(I189:I190)</f>
        <v>130000</v>
      </c>
      <c r="J191" s="269"/>
      <c r="K191" s="244">
        <f t="shared" ref="K191:M191" si="24">SUM(K189:K190)</f>
        <v>130000</v>
      </c>
      <c r="L191" s="269"/>
      <c r="M191" s="244">
        <f t="shared" si="24"/>
        <v>130000</v>
      </c>
    </row>
    <row r="192" spans="1:13" x14ac:dyDescent="0.2">
      <c r="A192" s="251">
        <v>1</v>
      </c>
      <c r="B192" s="221" t="s">
        <v>557</v>
      </c>
      <c r="C192" s="221" t="s">
        <v>687</v>
      </c>
      <c r="D192" s="222">
        <v>999999999</v>
      </c>
      <c r="E192" s="222">
        <v>817800</v>
      </c>
      <c r="F192" s="221" t="s">
        <v>835</v>
      </c>
      <c r="G192" s="221" t="s">
        <v>836</v>
      </c>
      <c r="H192" s="223" t="s">
        <v>347</v>
      </c>
      <c r="I192" s="224">
        <v>50000</v>
      </c>
      <c r="J192" s="223" t="s">
        <v>347</v>
      </c>
      <c r="K192" s="224">
        <v>50000</v>
      </c>
      <c r="L192" s="223" t="s">
        <v>347</v>
      </c>
      <c r="M192" s="224">
        <v>50000</v>
      </c>
    </row>
    <row r="193" spans="1:13" x14ac:dyDescent="0.2">
      <c r="A193" s="247" t="s">
        <v>837</v>
      </c>
      <c r="B193" s="267"/>
      <c r="C193" s="267"/>
      <c r="D193" s="268"/>
      <c r="E193" s="268"/>
      <c r="F193" s="267"/>
      <c r="G193" s="267"/>
      <c r="H193" s="269"/>
      <c r="I193" s="244">
        <f>SUM(I192)</f>
        <v>50000</v>
      </c>
      <c r="J193" s="269"/>
      <c r="K193" s="244">
        <f t="shared" ref="K193:M193" si="25">SUM(K192)</f>
        <v>50000</v>
      </c>
      <c r="L193" s="269"/>
      <c r="M193" s="244">
        <f t="shared" si="25"/>
        <v>50000</v>
      </c>
    </row>
    <row r="194" spans="1:13" x14ac:dyDescent="0.2">
      <c r="A194" s="251">
        <v>1</v>
      </c>
      <c r="B194" s="221" t="s">
        <v>462</v>
      </c>
      <c r="C194" s="221" t="s">
        <v>703</v>
      </c>
      <c r="D194" s="222">
        <v>2346323</v>
      </c>
      <c r="E194" s="222">
        <v>817910</v>
      </c>
      <c r="F194" s="221" t="s">
        <v>838</v>
      </c>
      <c r="G194" s="221" t="s">
        <v>326</v>
      </c>
      <c r="H194" s="223">
        <v>0.8</v>
      </c>
      <c r="I194" s="224">
        <v>86000</v>
      </c>
      <c r="J194" s="223">
        <v>0.8</v>
      </c>
      <c r="K194" s="224">
        <v>86000</v>
      </c>
      <c r="L194" s="223">
        <v>0.8</v>
      </c>
      <c r="M194" s="224">
        <v>86000</v>
      </c>
    </row>
    <row r="195" spans="1:13" x14ac:dyDescent="0.2">
      <c r="A195" s="251">
        <v>1</v>
      </c>
      <c r="B195" s="221" t="s">
        <v>416</v>
      </c>
      <c r="C195" s="221" t="s">
        <v>839</v>
      </c>
      <c r="D195" s="222">
        <v>5443621</v>
      </c>
      <c r="E195" s="222">
        <v>817910</v>
      </c>
      <c r="F195" s="221" t="s">
        <v>838</v>
      </c>
      <c r="G195" s="221" t="s">
        <v>363</v>
      </c>
      <c r="H195" s="223">
        <v>0.6</v>
      </c>
      <c r="I195" s="224">
        <v>60000</v>
      </c>
      <c r="J195" s="223">
        <v>0.6</v>
      </c>
      <c r="K195" s="224">
        <v>60000</v>
      </c>
      <c r="L195" s="223">
        <v>0.6</v>
      </c>
      <c r="M195" s="224">
        <v>60000</v>
      </c>
    </row>
    <row r="196" spans="1:13" x14ac:dyDescent="0.2">
      <c r="A196" s="247" t="s">
        <v>840</v>
      </c>
      <c r="B196" s="259"/>
      <c r="C196" s="259"/>
      <c r="D196" s="260"/>
      <c r="E196" s="260"/>
      <c r="F196" s="259"/>
      <c r="G196" s="259"/>
      <c r="H196" s="261"/>
      <c r="I196" s="275">
        <f>SUM(I194:I195)</f>
        <v>146000</v>
      </c>
      <c r="J196" s="261"/>
      <c r="K196" s="275">
        <f t="shared" ref="K196:M196" si="26">SUM(K194:K195)</f>
        <v>146000</v>
      </c>
      <c r="L196" s="261"/>
      <c r="M196" s="275">
        <f t="shared" si="26"/>
        <v>146000</v>
      </c>
    </row>
    <row r="197" spans="1:13" x14ac:dyDescent="0.2">
      <c r="A197" s="220">
        <v>1</v>
      </c>
      <c r="B197" s="221" t="s">
        <v>318</v>
      </c>
      <c r="C197" s="221" t="s">
        <v>318</v>
      </c>
      <c r="D197" s="222">
        <v>5625888</v>
      </c>
      <c r="E197" s="222">
        <v>819000</v>
      </c>
      <c r="F197" s="221" t="s">
        <v>841</v>
      </c>
      <c r="G197" s="221" t="s">
        <v>842</v>
      </c>
      <c r="H197" s="223">
        <v>1</v>
      </c>
      <c r="I197" s="224">
        <v>186000</v>
      </c>
      <c r="J197" s="223">
        <v>1</v>
      </c>
      <c r="K197" s="224">
        <v>186000</v>
      </c>
      <c r="L197" s="223">
        <v>1</v>
      </c>
      <c r="M197" s="224">
        <v>186000</v>
      </c>
    </row>
    <row r="198" spans="1:13" x14ac:dyDescent="0.2">
      <c r="A198" s="220">
        <v>1</v>
      </c>
      <c r="B198" s="221" t="s">
        <v>318</v>
      </c>
      <c r="C198" s="221" t="s">
        <v>843</v>
      </c>
      <c r="D198" s="222">
        <v>6287487</v>
      </c>
      <c r="E198" s="222">
        <v>819000</v>
      </c>
      <c r="F198" s="221" t="s">
        <v>841</v>
      </c>
      <c r="G198" s="221" t="s">
        <v>844</v>
      </c>
      <c r="H198" s="223">
        <v>0.75</v>
      </c>
      <c r="I198" s="224">
        <v>121000</v>
      </c>
      <c r="J198" s="223">
        <v>0.75</v>
      </c>
      <c r="K198" s="224">
        <v>121000</v>
      </c>
      <c r="L198" s="223">
        <v>0.75</v>
      </c>
      <c r="M198" s="224">
        <v>121000</v>
      </c>
    </row>
    <row r="199" spans="1:13" x14ac:dyDescent="0.2">
      <c r="A199" s="220">
        <v>1</v>
      </c>
      <c r="B199" s="221" t="s">
        <v>610</v>
      </c>
      <c r="C199" s="221" t="s">
        <v>773</v>
      </c>
      <c r="D199" s="222">
        <v>3981145</v>
      </c>
      <c r="E199" s="222">
        <v>819000</v>
      </c>
      <c r="F199" s="221" t="s">
        <v>841</v>
      </c>
      <c r="G199" s="221" t="s">
        <v>845</v>
      </c>
      <c r="H199" s="223">
        <v>0.75</v>
      </c>
      <c r="I199" s="224">
        <v>70000</v>
      </c>
      <c r="J199" s="223">
        <v>0.75</v>
      </c>
      <c r="K199" s="224">
        <v>70000</v>
      </c>
      <c r="L199" s="223">
        <v>0.75</v>
      </c>
      <c r="M199" s="224">
        <v>70000</v>
      </c>
    </row>
    <row r="200" spans="1:13" x14ac:dyDescent="0.2">
      <c r="A200" s="276" t="s">
        <v>846</v>
      </c>
      <c r="B200" s="267"/>
      <c r="C200" s="267"/>
      <c r="D200" s="268"/>
      <c r="E200" s="268"/>
      <c r="F200" s="267"/>
      <c r="G200" s="267"/>
      <c r="H200" s="277">
        <f>SUM(H4:H199)</f>
        <v>72.62</v>
      </c>
      <c r="I200" s="244">
        <f>SUM(I197:I199)</f>
        <v>377000</v>
      </c>
      <c r="J200" s="277">
        <f>SUM(J4:J199)</f>
        <v>71.420000000000016</v>
      </c>
      <c r="K200" s="244">
        <f t="shared" ref="K200:M200" si="27">SUM(K197:K199)</f>
        <v>377000</v>
      </c>
      <c r="L200" s="277">
        <f>SUM(L4:L199)</f>
        <v>67.79000000000002</v>
      </c>
      <c r="M200" s="244">
        <f t="shared" si="27"/>
        <v>377000</v>
      </c>
    </row>
    <row r="201" spans="1:13" ht="18.75" x14ac:dyDescent="0.2">
      <c r="A201" s="626" t="s">
        <v>43</v>
      </c>
      <c r="B201" s="627"/>
      <c r="C201" s="627"/>
      <c r="D201" s="627"/>
      <c r="E201" s="627"/>
      <c r="F201" s="627"/>
      <c r="G201" s="627"/>
      <c r="H201" s="628"/>
      <c r="I201" s="218">
        <f>I7+I36+I52+I56+I62+I67+I70+I73+I75+I77+I82+I90+I109+I111+I124+I132+I148+I167+I169+I171+I173+I175+I185+I188+I191+I193+I196+I200</f>
        <v>11299913</v>
      </c>
      <c r="J201" s="218"/>
      <c r="K201" s="218">
        <f>K7+K36+K52+K56+K62+K67+K70+K73+K75+K77+K82+K90+K109+K111+K124+K132+K148+K167+K169+K171+K173+K175+K185+K188+K191+K193+K196+K200</f>
        <v>11265200</v>
      </c>
      <c r="L201" s="218"/>
      <c r="M201" s="218">
        <f>M7+M36+M52+M56+M62+M67+M70+M73+M75+M77+M82+M90+M109+M111+M124+M132+M148+M167+M169+M171+M173+M175+M185+M188+M191+M193+M196+M200</f>
        <v>10575200</v>
      </c>
    </row>
  </sheetData>
  <mergeCells count="3">
    <mergeCell ref="A1:I1"/>
    <mergeCell ref="A2:I2"/>
    <mergeCell ref="A201:H20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rightToLeft="1" topLeftCell="A19" zoomScale="80" zoomScaleNormal="80" workbookViewId="0">
      <selection activeCell="G23" sqref="G23"/>
    </sheetView>
  </sheetViews>
  <sheetFormatPr defaultColWidth="9.140625" defaultRowHeight="12.75" x14ac:dyDescent="0.2"/>
  <cols>
    <col min="1" max="1" width="9.140625" style="293" bestFit="1" customWidth="1"/>
    <col min="2" max="2" width="10.85546875" style="293" customWidth="1"/>
    <col min="3" max="3" width="10.7109375" style="293" customWidth="1"/>
    <col min="4" max="4" width="7.85546875" style="293" customWidth="1"/>
    <col min="5" max="5" width="8.5703125" style="293" customWidth="1"/>
    <col min="6" max="6" width="24.140625" style="293" customWidth="1"/>
    <col min="7" max="7" width="23.85546875" style="293" bestFit="1" customWidth="1"/>
    <col min="8" max="8" width="5.85546875" style="293" bestFit="1" customWidth="1"/>
    <col min="9" max="9" width="34.140625" style="321" bestFit="1" customWidth="1"/>
    <col min="10" max="10" width="12.85546875" style="293" bestFit="1" customWidth="1"/>
    <col min="11" max="11" width="8.28515625" style="293" customWidth="1"/>
    <col min="12" max="12" width="12.85546875" style="293" bestFit="1" customWidth="1"/>
    <col min="13" max="13" width="8.28515625" style="293" customWidth="1"/>
    <col min="14" max="14" width="12.85546875" style="293" customWidth="1"/>
    <col min="15" max="15" width="14.85546875" style="293" bestFit="1" customWidth="1"/>
    <col min="16" max="16" width="9.5703125" style="293" customWidth="1"/>
    <col min="17" max="16384" width="9.140625" style="293"/>
  </cols>
  <sheetData>
    <row r="1" spans="1:17" s="280" customFormat="1" ht="20.25" x14ac:dyDescent="0.2">
      <c r="A1" s="629" t="s">
        <v>306</v>
      </c>
      <c r="B1" s="625"/>
      <c r="C1" s="625"/>
      <c r="D1" s="625"/>
      <c r="E1" s="625"/>
      <c r="F1" s="625"/>
      <c r="G1" s="625"/>
      <c r="H1" s="625"/>
      <c r="I1" s="625"/>
      <c r="J1" s="625"/>
      <c r="K1" s="625"/>
      <c r="L1" s="625"/>
      <c r="M1" s="213"/>
      <c r="N1" s="213"/>
    </row>
    <row r="2" spans="1:17" s="280" customFormat="1" ht="18.75" customHeight="1" x14ac:dyDescent="0.2">
      <c r="A2" s="630" t="s">
        <v>847</v>
      </c>
      <c r="B2" s="631"/>
      <c r="C2" s="631"/>
      <c r="D2" s="631"/>
      <c r="E2" s="631"/>
      <c r="F2" s="631"/>
      <c r="G2" s="631"/>
      <c r="H2" s="631"/>
      <c r="I2" s="631"/>
      <c r="J2" s="631"/>
      <c r="K2" s="631"/>
      <c r="L2" s="631"/>
      <c r="M2" s="281"/>
      <c r="N2" s="281"/>
    </row>
    <row r="3" spans="1:17" s="285" customFormat="1" ht="16.5" customHeight="1" x14ac:dyDescent="0.2">
      <c r="A3" s="282" t="s">
        <v>308</v>
      </c>
      <c r="B3" s="283" t="s">
        <v>309</v>
      </c>
      <c r="C3" s="283" t="s">
        <v>310</v>
      </c>
      <c r="D3" s="283" t="s">
        <v>311</v>
      </c>
      <c r="E3" s="283" t="s">
        <v>564</v>
      </c>
      <c r="F3" s="283" t="s">
        <v>565</v>
      </c>
      <c r="G3" s="283" t="s">
        <v>566</v>
      </c>
      <c r="H3" s="282" t="s">
        <v>567</v>
      </c>
      <c r="I3" s="284"/>
      <c r="J3" s="282" t="s">
        <v>80</v>
      </c>
      <c r="K3" s="282" t="s">
        <v>569</v>
      </c>
      <c r="L3" s="282" t="s">
        <v>81</v>
      </c>
      <c r="M3" s="282" t="s">
        <v>571</v>
      </c>
      <c r="N3" s="282" t="s">
        <v>82</v>
      </c>
    </row>
    <row r="4" spans="1:17" s="285" customFormat="1" ht="16.5" customHeight="1" x14ac:dyDescent="0.2">
      <c r="A4" s="286">
        <v>1</v>
      </c>
      <c r="B4" s="287" t="s">
        <v>848</v>
      </c>
      <c r="C4" s="287" t="s">
        <v>849</v>
      </c>
      <c r="D4" s="288">
        <v>5515873</v>
      </c>
      <c r="E4" s="288">
        <v>841000</v>
      </c>
      <c r="F4" s="289" t="s">
        <v>850</v>
      </c>
      <c r="G4" s="287" t="s">
        <v>851</v>
      </c>
      <c r="H4" s="290">
        <v>1</v>
      </c>
      <c r="I4" s="291"/>
      <c r="J4" s="292">
        <v>184000</v>
      </c>
      <c r="K4" s="290">
        <v>1</v>
      </c>
      <c r="L4" s="292">
        <v>184000</v>
      </c>
      <c r="M4" s="290">
        <v>1</v>
      </c>
      <c r="N4" s="292">
        <v>184000</v>
      </c>
    </row>
    <row r="5" spans="1:17" ht="14.25" customHeight="1" x14ac:dyDescent="0.2">
      <c r="A5" s="286">
        <v>1</v>
      </c>
      <c r="B5" s="287" t="s">
        <v>318</v>
      </c>
      <c r="C5" s="287" t="s">
        <v>852</v>
      </c>
      <c r="D5" s="288">
        <v>3276197</v>
      </c>
      <c r="E5" s="288">
        <v>841000</v>
      </c>
      <c r="F5" s="287" t="s">
        <v>853</v>
      </c>
      <c r="G5" s="287" t="s">
        <v>854</v>
      </c>
      <c r="H5" s="290">
        <v>0.5</v>
      </c>
      <c r="I5" s="291"/>
      <c r="J5" s="292">
        <v>112000</v>
      </c>
      <c r="K5" s="290">
        <v>0.5</v>
      </c>
      <c r="L5" s="292">
        <v>112000</v>
      </c>
      <c r="M5" s="290">
        <v>0.5</v>
      </c>
      <c r="N5" s="292">
        <v>112000</v>
      </c>
      <c r="O5"/>
      <c r="P5"/>
      <c r="Q5"/>
    </row>
    <row r="6" spans="1:17" ht="14.25" customHeight="1" x14ac:dyDescent="0.2">
      <c r="A6" s="286">
        <v>1</v>
      </c>
      <c r="B6" s="287" t="s">
        <v>318</v>
      </c>
      <c r="C6" s="287" t="s">
        <v>852</v>
      </c>
      <c r="D6" s="288">
        <v>3276197</v>
      </c>
      <c r="E6" s="288">
        <v>841000</v>
      </c>
      <c r="F6" s="289" t="s">
        <v>855</v>
      </c>
      <c r="G6" s="289" t="s">
        <v>856</v>
      </c>
      <c r="H6" s="290">
        <v>0.5</v>
      </c>
      <c r="I6" s="291" t="s">
        <v>857</v>
      </c>
      <c r="J6" s="292">
        <v>75000</v>
      </c>
      <c r="K6" s="290">
        <v>0.5</v>
      </c>
      <c r="L6" s="292">
        <v>75000</v>
      </c>
      <c r="M6" s="290">
        <v>0.5</v>
      </c>
      <c r="N6" s="292">
        <v>75000</v>
      </c>
      <c r="O6"/>
      <c r="P6"/>
      <c r="Q6"/>
    </row>
    <row r="7" spans="1:17" ht="14.25" customHeight="1" x14ac:dyDescent="0.2">
      <c r="A7" s="286">
        <v>1</v>
      </c>
      <c r="B7" s="287" t="s">
        <v>428</v>
      </c>
      <c r="C7" s="287" t="s">
        <v>819</v>
      </c>
      <c r="D7" s="288">
        <v>2834208</v>
      </c>
      <c r="E7" s="288">
        <v>841000</v>
      </c>
      <c r="F7" s="289" t="s">
        <v>858</v>
      </c>
      <c r="G7" s="287" t="s">
        <v>858</v>
      </c>
      <c r="H7" s="290">
        <v>1</v>
      </c>
      <c r="I7" s="291" t="s">
        <v>859</v>
      </c>
      <c r="J7" s="292">
        <v>156000</v>
      </c>
      <c r="K7" s="290">
        <v>1</v>
      </c>
      <c r="L7" s="292">
        <v>156000</v>
      </c>
      <c r="M7" s="290">
        <v>1</v>
      </c>
      <c r="N7" s="292">
        <v>156000</v>
      </c>
      <c r="O7"/>
      <c r="P7"/>
      <c r="Q7"/>
    </row>
    <row r="8" spans="1:17" ht="14.25" customHeight="1" x14ac:dyDescent="0.2">
      <c r="A8" s="286">
        <v>1</v>
      </c>
      <c r="B8" s="287" t="s">
        <v>454</v>
      </c>
      <c r="C8" s="287" t="s">
        <v>511</v>
      </c>
      <c r="D8" s="288">
        <v>6128021</v>
      </c>
      <c r="E8" s="288">
        <v>841000</v>
      </c>
      <c r="F8" s="289" t="s">
        <v>860</v>
      </c>
      <c r="G8" s="287" t="s">
        <v>860</v>
      </c>
      <c r="H8" s="290">
        <v>0.8</v>
      </c>
      <c r="I8" s="291"/>
      <c r="J8" s="292">
        <v>115000</v>
      </c>
      <c r="K8" s="290">
        <v>0.8</v>
      </c>
      <c r="L8" s="292">
        <v>115000</v>
      </c>
      <c r="M8" s="290">
        <v>0.8</v>
      </c>
      <c r="N8" s="292">
        <v>115000</v>
      </c>
      <c r="O8"/>
      <c r="P8"/>
      <c r="Q8"/>
    </row>
    <row r="9" spans="1:17" ht="14.25" customHeight="1" x14ac:dyDescent="0.2">
      <c r="A9" s="286">
        <v>1</v>
      </c>
      <c r="B9" s="294" t="s">
        <v>861</v>
      </c>
      <c r="C9" s="294" t="s">
        <v>862</v>
      </c>
      <c r="D9" s="295">
        <v>30095375</v>
      </c>
      <c r="E9" s="295">
        <v>841000</v>
      </c>
      <c r="F9" s="296" t="s">
        <v>863</v>
      </c>
      <c r="G9" s="296" t="s">
        <v>864</v>
      </c>
      <c r="H9" s="297">
        <v>1</v>
      </c>
      <c r="I9" s="298" t="s">
        <v>865</v>
      </c>
      <c r="J9" s="299">
        <v>150000</v>
      </c>
      <c r="K9" s="297">
        <v>1</v>
      </c>
      <c r="L9" s="299">
        <v>150000</v>
      </c>
      <c r="M9" s="297">
        <v>1</v>
      </c>
      <c r="N9" s="299">
        <v>150000</v>
      </c>
      <c r="O9" t="s">
        <v>866</v>
      </c>
      <c r="P9"/>
      <c r="Q9"/>
    </row>
    <row r="10" spans="1:17" ht="14.25" customHeight="1" x14ac:dyDescent="0.2">
      <c r="A10" s="286">
        <v>1</v>
      </c>
      <c r="B10" s="296" t="s">
        <v>867</v>
      </c>
      <c r="C10" s="296" t="s">
        <v>614</v>
      </c>
      <c r="D10" s="295">
        <v>5239197</v>
      </c>
      <c r="E10" s="295">
        <v>841000</v>
      </c>
      <c r="F10" s="296" t="s">
        <v>868</v>
      </c>
      <c r="G10" s="296" t="s">
        <v>868</v>
      </c>
      <c r="H10" s="297">
        <v>0.5</v>
      </c>
      <c r="I10" s="298"/>
      <c r="J10" s="299">
        <v>110000</v>
      </c>
      <c r="K10" s="297">
        <v>0.5</v>
      </c>
      <c r="L10" s="299">
        <v>110000</v>
      </c>
      <c r="M10" s="297">
        <v>0.5</v>
      </c>
      <c r="N10" s="299">
        <v>110000</v>
      </c>
      <c r="O10"/>
      <c r="P10"/>
      <c r="Q10"/>
    </row>
    <row r="11" spans="1:17" ht="14.25" customHeight="1" x14ac:dyDescent="0.2">
      <c r="A11" s="286">
        <v>1</v>
      </c>
      <c r="B11" s="287" t="s">
        <v>505</v>
      </c>
      <c r="C11" s="287" t="s">
        <v>632</v>
      </c>
      <c r="D11" s="288">
        <v>5755856</v>
      </c>
      <c r="E11" s="288">
        <v>841000</v>
      </c>
      <c r="F11" s="289" t="s">
        <v>869</v>
      </c>
      <c r="G11" s="289" t="s">
        <v>869</v>
      </c>
      <c r="H11" s="297">
        <v>0.5</v>
      </c>
      <c r="I11" s="291" t="s">
        <v>859</v>
      </c>
      <c r="J11" s="292">
        <v>65000</v>
      </c>
      <c r="K11" s="297">
        <v>0.5</v>
      </c>
      <c r="L11" s="292">
        <v>65000</v>
      </c>
      <c r="M11" s="297">
        <v>0.5</v>
      </c>
      <c r="N11" s="292">
        <v>65000</v>
      </c>
      <c r="O11"/>
      <c r="P11"/>
      <c r="Q11"/>
    </row>
    <row r="12" spans="1:17" ht="14.25" customHeight="1" x14ac:dyDescent="0.2">
      <c r="A12" s="286">
        <v>1</v>
      </c>
      <c r="B12" s="287" t="s">
        <v>870</v>
      </c>
      <c r="C12" s="287" t="s">
        <v>871</v>
      </c>
      <c r="D12" s="288">
        <v>3298176</v>
      </c>
      <c r="E12" s="288">
        <v>841000</v>
      </c>
      <c r="F12" s="289" t="s">
        <v>872</v>
      </c>
      <c r="G12" s="289" t="s">
        <v>873</v>
      </c>
      <c r="H12" s="290">
        <v>0.5</v>
      </c>
      <c r="I12" s="291"/>
      <c r="J12" s="292">
        <v>80000</v>
      </c>
      <c r="K12" s="290">
        <v>0.5</v>
      </c>
      <c r="L12" s="292">
        <v>80000</v>
      </c>
      <c r="M12" s="290">
        <v>0.5</v>
      </c>
      <c r="N12" s="292">
        <v>80000</v>
      </c>
      <c r="O12"/>
      <c r="P12"/>
      <c r="Q12"/>
    </row>
    <row r="13" spans="1:17" ht="14.25" customHeight="1" x14ac:dyDescent="0.2">
      <c r="A13" s="286">
        <v>1</v>
      </c>
      <c r="B13" s="287" t="s">
        <v>874</v>
      </c>
      <c r="C13" s="287" t="s">
        <v>700</v>
      </c>
      <c r="D13" s="288">
        <v>2618465</v>
      </c>
      <c r="E13" s="288">
        <v>841000</v>
      </c>
      <c r="F13" s="289" t="s">
        <v>875</v>
      </c>
      <c r="G13" s="289" t="s">
        <v>864</v>
      </c>
      <c r="H13" s="290">
        <v>0.5</v>
      </c>
      <c r="I13" s="291" t="s">
        <v>876</v>
      </c>
      <c r="J13" s="292">
        <v>60000</v>
      </c>
      <c r="K13" s="290">
        <v>0.5</v>
      </c>
      <c r="L13" s="292">
        <v>60000</v>
      </c>
      <c r="M13" s="290">
        <v>0.5</v>
      </c>
      <c r="N13" s="292">
        <v>60000</v>
      </c>
      <c r="O13"/>
      <c r="P13"/>
      <c r="Q13"/>
    </row>
    <row r="14" spans="1:17" ht="14.25" customHeight="1" x14ac:dyDescent="0.2">
      <c r="A14" s="286">
        <v>1</v>
      </c>
      <c r="B14" s="287" t="s">
        <v>874</v>
      </c>
      <c r="C14" s="287" t="s">
        <v>700</v>
      </c>
      <c r="D14" s="288">
        <v>2618465</v>
      </c>
      <c r="E14" s="288">
        <v>841000</v>
      </c>
      <c r="F14" s="289" t="s">
        <v>877</v>
      </c>
      <c r="G14" s="289" t="s">
        <v>878</v>
      </c>
      <c r="H14" s="290">
        <v>0.5</v>
      </c>
      <c r="I14" s="291" t="s">
        <v>879</v>
      </c>
      <c r="J14" s="292">
        <v>60000</v>
      </c>
      <c r="K14" s="290">
        <v>0.5</v>
      </c>
      <c r="L14" s="292">
        <v>60000</v>
      </c>
      <c r="M14" s="290">
        <v>0.5</v>
      </c>
      <c r="N14" s="292">
        <v>60000</v>
      </c>
      <c r="O14"/>
      <c r="P14"/>
      <c r="Q14"/>
    </row>
    <row r="15" spans="1:17" ht="14.25" customHeight="1" x14ac:dyDescent="0.2">
      <c r="A15" s="286">
        <v>1</v>
      </c>
      <c r="B15" s="287" t="s">
        <v>880</v>
      </c>
      <c r="C15" s="287" t="s">
        <v>881</v>
      </c>
      <c r="D15" s="288">
        <v>30249753</v>
      </c>
      <c r="E15" s="288">
        <v>841000</v>
      </c>
      <c r="F15" s="289" t="s">
        <v>882</v>
      </c>
      <c r="G15" s="289" t="s">
        <v>883</v>
      </c>
      <c r="H15" s="290">
        <v>0.5</v>
      </c>
      <c r="I15" s="291"/>
      <c r="J15" s="292">
        <v>54000</v>
      </c>
      <c r="K15" s="290">
        <v>0.5</v>
      </c>
      <c r="L15" s="292">
        <v>54000</v>
      </c>
      <c r="M15" s="290">
        <v>0.5</v>
      </c>
      <c r="N15" s="292">
        <v>54000</v>
      </c>
      <c r="O15"/>
      <c r="P15"/>
      <c r="Q15"/>
    </row>
    <row r="16" spans="1:17" ht="14.25" customHeight="1" x14ac:dyDescent="0.2">
      <c r="A16" s="286">
        <v>1</v>
      </c>
      <c r="B16" s="287" t="s">
        <v>387</v>
      </c>
      <c r="C16" s="287" t="s">
        <v>884</v>
      </c>
      <c r="D16" s="288">
        <v>5996497</v>
      </c>
      <c r="E16" s="288">
        <v>841000</v>
      </c>
      <c r="F16" s="289" t="s">
        <v>885</v>
      </c>
      <c r="G16" s="287" t="s">
        <v>886</v>
      </c>
      <c r="H16" s="290">
        <v>0.75</v>
      </c>
      <c r="I16" s="291" t="s">
        <v>887</v>
      </c>
      <c r="J16" s="292">
        <v>90000</v>
      </c>
      <c r="K16" s="290">
        <v>0.75</v>
      </c>
      <c r="L16" s="292">
        <v>90000</v>
      </c>
      <c r="M16" s="290">
        <v>0.75</v>
      </c>
      <c r="N16" s="292">
        <v>90000</v>
      </c>
      <c r="O16"/>
      <c r="P16"/>
      <c r="Q16"/>
    </row>
    <row r="17" spans="1:17" ht="14.25" customHeight="1" x14ac:dyDescent="0.2">
      <c r="A17" s="286">
        <v>1</v>
      </c>
      <c r="B17" s="287" t="s">
        <v>557</v>
      </c>
      <c r="C17" s="287" t="s">
        <v>676</v>
      </c>
      <c r="D17" s="288">
        <v>9999999</v>
      </c>
      <c r="E17" s="288">
        <v>841000</v>
      </c>
      <c r="F17" s="289" t="s">
        <v>888</v>
      </c>
      <c r="G17" s="287" t="s">
        <v>889</v>
      </c>
      <c r="H17" s="290">
        <v>1.5</v>
      </c>
      <c r="I17" s="291"/>
      <c r="J17" s="292">
        <v>150000</v>
      </c>
      <c r="K17" s="290">
        <v>1.5</v>
      </c>
      <c r="L17" s="292">
        <v>150000</v>
      </c>
      <c r="M17" s="290">
        <v>1.5</v>
      </c>
      <c r="N17" s="292">
        <v>150000</v>
      </c>
      <c r="O17"/>
      <c r="P17"/>
      <c r="Q17"/>
    </row>
    <row r="18" spans="1:17" ht="14.25" customHeight="1" x14ac:dyDescent="0.2">
      <c r="A18" s="286"/>
      <c r="B18" s="287" t="s">
        <v>557</v>
      </c>
      <c r="C18" s="287" t="s">
        <v>676</v>
      </c>
      <c r="D18" s="288">
        <v>9999999</v>
      </c>
      <c r="E18" s="288">
        <v>841000</v>
      </c>
      <c r="F18" s="289" t="s">
        <v>890</v>
      </c>
      <c r="G18" s="287" t="s">
        <v>891</v>
      </c>
      <c r="H18" s="290">
        <v>1</v>
      </c>
      <c r="I18" s="291" t="s">
        <v>892</v>
      </c>
      <c r="J18" s="292">
        <v>120000</v>
      </c>
      <c r="K18" s="290">
        <v>1</v>
      </c>
      <c r="L18" s="292">
        <v>120000</v>
      </c>
      <c r="M18" s="290">
        <v>1</v>
      </c>
      <c r="N18" s="292">
        <v>120000</v>
      </c>
      <c r="O18"/>
      <c r="P18"/>
      <c r="Q18"/>
    </row>
    <row r="19" spans="1:17" ht="14.25" customHeight="1" x14ac:dyDescent="0.2">
      <c r="A19" s="286"/>
      <c r="B19" s="287" t="s">
        <v>557</v>
      </c>
      <c r="C19" s="287" t="s">
        <v>676</v>
      </c>
      <c r="D19" s="288">
        <v>9999999</v>
      </c>
      <c r="E19" s="288">
        <v>841000</v>
      </c>
      <c r="F19" s="289" t="s">
        <v>890</v>
      </c>
      <c r="G19" s="287" t="s">
        <v>891</v>
      </c>
      <c r="H19" s="290">
        <v>0</v>
      </c>
      <c r="I19" s="291" t="s">
        <v>893</v>
      </c>
      <c r="J19" s="292">
        <v>0</v>
      </c>
      <c r="K19" s="290">
        <v>2.58</v>
      </c>
      <c r="L19" s="292">
        <v>323933</v>
      </c>
      <c r="M19" s="290">
        <v>2.58</v>
      </c>
      <c r="N19" s="292">
        <v>323933</v>
      </c>
      <c r="O19"/>
      <c r="P19"/>
      <c r="Q19"/>
    </row>
    <row r="20" spans="1:17" s="306" customFormat="1" ht="14.25" customHeight="1" x14ac:dyDescent="0.2">
      <c r="A20" s="300"/>
      <c r="B20" s="301"/>
      <c r="C20" s="301"/>
      <c r="D20" s="302"/>
      <c r="E20" s="302"/>
      <c r="F20" s="301"/>
      <c r="G20" s="301"/>
      <c r="H20" s="303"/>
      <c r="I20" s="304"/>
      <c r="J20" s="305">
        <f>SUM(J4:J19)</f>
        <v>1581000</v>
      </c>
      <c r="K20" s="303"/>
      <c r="L20" s="305">
        <f t="shared" ref="L20:N20" si="0">SUM(L4:L19)</f>
        <v>1904933</v>
      </c>
      <c r="M20" s="303"/>
      <c r="N20" s="305">
        <f t="shared" si="0"/>
        <v>1904933</v>
      </c>
      <c r="O20"/>
      <c r="P20"/>
      <c r="Q20"/>
    </row>
    <row r="21" spans="1:17" ht="14.25" customHeight="1" x14ac:dyDescent="0.2">
      <c r="A21" s="286">
        <v>1</v>
      </c>
      <c r="B21" s="287" t="s">
        <v>894</v>
      </c>
      <c r="C21" s="287" t="s">
        <v>895</v>
      </c>
      <c r="D21" s="288">
        <v>3429196</v>
      </c>
      <c r="E21" s="288">
        <v>841001</v>
      </c>
      <c r="F21" s="289" t="s">
        <v>896</v>
      </c>
      <c r="G21" s="287" t="s">
        <v>897</v>
      </c>
      <c r="H21" s="290">
        <v>0.8</v>
      </c>
      <c r="I21" s="291"/>
      <c r="J21" s="292">
        <v>84000</v>
      </c>
      <c r="K21" s="290">
        <v>0.8</v>
      </c>
      <c r="L21" s="292">
        <v>84000</v>
      </c>
      <c r="M21" s="290">
        <v>0.8</v>
      </c>
      <c r="N21" s="292">
        <v>84000</v>
      </c>
      <c r="O21"/>
      <c r="P21"/>
      <c r="Q21"/>
    </row>
    <row r="22" spans="1:17" ht="14.25" customHeight="1" x14ac:dyDescent="0.2">
      <c r="A22" s="286">
        <v>1</v>
      </c>
      <c r="B22" s="287" t="s">
        <v>554</v>
      </c>
      <c r="C22" s="287" t="s">
        <v>459</v>
      </c>
      <c r="D22" s="288">
        <v>5440403</v>
      </c>
      <c r="E22" s="288">
        <v>841001</v>
      </c>
      <c r="F22" s="289" t="s">
        <v>898</v>
      </c>
      <c r="G22" s="287" t="s">
        <v>785</v>
      </c>
      <c r="H22" s="290">
        <v>1</v>
      </c>
      <c r="I22" s="291"/>
      <c r="J22" s="292">
        <v>98000</v>
      </c>
      <c r="K22" s="290">
        <v>1</v>
      </c>
      <c r="L22" s="292">
        <v>98000</v>
      </c>
      <c r="M22" s="290">
        <v>0</v>
      </c>
      <c r="N22" s="292">
        <v>0</v>
      </c>
      <c r="O22" s="307" t="s">
        <v>899</v>
      </c>
      <c r="P22"/>
      <c r="Q22"/>
    </row>
    <row r="23" spans="1:17" ht="14.25" customHeight="1" x14ac:dyDescent="0.2">
      <c r="A23" s="286">
        <v>1</v>
      </c>
      <c r="B23" s="287" t="s">
        <v>597</v>
      </c>
      <c r="C23" s="287" t="s">
        <v>900</v>
      </c>
      <c r="D23" s="288">
        <v>5817510</v>
      </c>
      <c r="E23" s="288">
        <v>841001</v>
      </c>
      <c r="F23" s="287" t="s">
        <v>901</v>
      </c>
      <c r="G23" s="287" t="s">
        <v>902</v>
      </c>
      <c r="H23" s="290">
        <v>1</v>
      </c>
      <c r="I23" s="291"/>
      <c r="J23" s="292">
        <v>126000</v>
      </c>
      <c r="K23" s="290">
        <v>1</v>
      </c>
      <c r="L23" s="292">
        <v>126000</v>
      </c>
      <c r="M23" s="290">
        <v>1</v>
      </c>
      <c r="N23" s="292">
        <v>126000</v>
      </c>
      <c r="O23"/>
      <c r="P23"/>
      <c r="Q23"/>
    </row>
    <row r="24" spans="1:17" ht="14.25" customHeight="1" x14ac:dyDescent="0.2">
      <c r="A24" s="286">
        <v>1</v>
      </c>
      <c r="B24" s="287" t="s">
        <v>541</v>
      </c>
      <c r="C24" s="287" t="s">
        <v>903</v>
      </c>
      <c r="D24" s="288">
        <v>5934908</v>
      </c>
      <c r="E24" s="288">
        <v>841001</v>
      </c>
      <c r="F24" s="287" t="s">
        <v>904</v>
      </c>
      <c r="G24" s="287" t="s">
        <v>363</v>
      </c>
      <c r="H24" s="290">
        <v>0.83</v>
      </c>
      <c r="I24" s="291"/>
      <c r="J24" s="292">
        <v>76000</v>
      </c>
      <c r="K24" s="290">
        <v>0.83</v>
      </c>
      <c r="L24" s="292">
        <v>76000</v>
      </c>
      <c r="M24" s="290">
        <v>0.83</v>
      </c>
      <c r="N24" s="292">
        <v>76000</v>
      </c>
      <c r="O24"/>
      <c r="P24"/>
      <c r="Q24"/>
    </row>
    <row r="25" spans="1:17" s="306" customFormat="1" ht="14.25" customHeight="1" x14ac:dyDescent="0.2">
      <c r="A25" s="300"/>
      <c r="B25" s="301"/>
      <c r="C25" s="301"/>
      <c r="D25" s="302"/>
      <c r="E25" s="302"/>
      <c r="F25" s="301"/>
      <c r="G25" s="301"/>
      <c r="H25" s="303"/>
      <c r="I25" s="304"/>
      <c r="J25" s="305">
        <f>SUM(J21:J24)</f>
        <v>384000</v>
      </c>
      <c r="K25" s="303"/>
      <c r="L25" s="305">
        <f t="shared" ref="L25:N25" si="1">SUM(L21:L24)</f>
        <v>384000</v>
      </c>
      <c r="M25" s="303"/>
      <c r="N25" s="305">
        <f t="shared" si="1"/>
        <v>286000</v>
      </c>
      <c r="O25"/>
      <c r="P25"/>
      <c r="Q25"/>
    </row>
    <row r="26" spans="1:17" ht="14.25" customHeight="1" x14ac:dyDescent="0.2">
      <c r="A26" s="286">
        <v>1</v>
      </c>
      <c r="B26" s="287" t="s">
        <v>597</v>
      </c>
      <c r="C26" s="287" t="s">
        <v>905</v>
      </c>
      <c r="D26" s="288">
        <v>2815747</v>
      </c>
      <c r="E26" s="288">
        <v>841300</v>
      </c>
      <c r="F26" s="287" t="s">
        <v>906</v>
      </c>
      <c r="G26" s="287" t="s">
        <v>907</v>
      </c>
      <c r="H26" s="290">
        <v>0.66</v>
      </c>
      <c r="I26" s="291"/>
      <c r="J26" s="292">
        <v>70000</v>
      </c>
      <c r="K26" s="290">
        <v>0.66</v>
      </c>
      <c r="L26" s="292">
        <v>70000</v>
      </c>
      <c r="M26" s="290">
        <v>0.66</v>
      </c>
      <c r="N26" s="292">
        <v>70000</v>
      </c>
      <c r="O26"/>
      <c r="P26"/>
      <c r="Q26"/>
    </row>
    <row r="27" spans="1:17" ht="14.25" customHeight="1" x14ac:dyDescent="0.2">
      <c r="A27" s="286">
        <v>1</v>
      </c>
      <c r="B27" s="287" t="s">
        <v>428</v>
      </c>
      <c r="C27" s="287" t="s">
        <v>908</v>
      </c>
      <c r="D27" s="288">
        <v>2750780</v>
      </c>
      <c r="E27" s="288">
        <v>841300</v>
      </c>
      <c r="F27" s="287" t="s">
        <v>906</v>
      </c>
      <c r="G27" s="287" t="s">
        <v>909</v>
      </c>
      <c r="H27" s="290">
        <f>996/1200</f>
        <v>0.83</v>
      </c>
      <c r="I27" s="291"/>
      <c r="J27" s="292">
        <v>90000</v>
      </c>
      <c r="K27" s="290">
        <f>996/1200</f>
        <v>0.83</v>
      </c>
      <c r="L27" s="292">
        <v>90000</v>
      </c>
      <c r="M27" s="290">
        <f>996/1200</f>
        <v>0.83</v>
      </c>
      <c r="N27" s="292">
        <v>90000</v>
      </c>
      <c r="O27"/>
      <c r="P27"/>
      <c r="Q27"/>
    </row>
    <row r="28" spans="1:17" s="306" customFormat="1" ht="14.25" customHeight="1" x14ac:dyDescent="0.2">
      <c r="A28" s="308"/>
      <c r="B28" s="301"/>
      <c r="C28" s="301"/>
      <c r="D28" s="302"/>
      <c r="E28" s="302"/>
      <c r="F28" s="301"/>
      <c r="G28" s="301"/>
      <c r="H28" s="303"/>
      <c r="I28" s="304"/>
      <c r="J28" s="305">
        <f>SUM(J26:J27)</f>
        <v>160000</v>
      </c>
      <c r="K28" s="303"/>
      <c r="L28" s="305">
        <f t="shared" ref="L28:N28" si="2">SUM(L26:L27)</f>
        <v>160000</v>
      </c>
      <c r="M28" s="303"/>
      <c r="N28" s="305">
        <f t="shared" si="2"/>
        <v>160000</v>
      </c>
      <c r="O28"/>
      <c r="P28"/>
      <c r="Q28"/>
    </row>
    <row r="29" spans="1:17" ht="14.25" hidden="1" customHeight="1" x14ac:dyDescent="0.2">
      <c r="A29" s="286">
        <v>24</v>
      </c>
      <c r="B29" s="287" t="s">
        <v>365</v>
      </c>
      <c r="C29" s="287" t="s">
        <v>674</v>
      </c>
      <c r="D29" s="288">
        <v>30101448</v>
      </c>
      <c r="E29" s="288">
        <v>841400</v>
      </c>
      <c r="F29" s="287" t="s">
        <v>910</v>
      </c>
      <c r="G29" s="287" t="s">
        <v>828</v>
      </c>
      <c r="H29" s="290" t="s">
        <v>419</v>
      </c>
      <c r="I29" s="291"/>
      <c r="J29" s="292">
        <v>0</v>
      </c>
      <c r="K29" s="290" t="s">
        <v>419</v>
      </c>
      <c r="L29" s="292">
        <v>0</v>
      </c>
      <c r="M29" s="290" t="s">
        <v>419</v>
      </c>
      <c r="N29" s="292">
        <v>0</v>
      </c>
    </row>
    <row r="30" spans="1:17" s="306" customFormat="1" ht="5.25" hidden="1" customHeight="1" x14ac:dyDescent="0.2">
      <c r="A30" s="309"/>
      <c r="B30" s="310"/>
      <c r="C30" s="310"/>
      <c r="D30" s="311"/>
      <c r="E30" s="311"/>
      <c r="F30" s="310"/>
      <c r="G30" s="310"/>
      <c r="H30" s="312"/>
      <c r="I30" s="313">
        <f t="shared" ref="I30" si="3">SUM(I29)</f>
        <v>0</v>
      </c>
      <c r="J30" s="314"/>
      <c r="K30" s="312"/>
      <c r="L30" s="314"/>
      <c r="M30" s="312"/>
      <c r="N30" s="314"/>
    </row>
    <row r="31" spans="1:17" ht="14.25" customHeight="1" x14ac:dyDescent="0.2">
      <c r="A31" s="286">
        <v>1</v>
      </c>
      <c r="B31" s="287" t="s">
        <v>532</v>
      </c>
      <c r="C31" s="287" t="s">
        <v>895</v>
      </c>
      <c r="D31" s="288">
        <v>2824491</v>
      </c>
      <c r="E31" s="288">
        <v>845200</v>
      </c>
      <c r="F31" s="287" t="s">
        <v>911</v>
      </c>
      <c r="G31" s="287" t="s">
        <v>912</v>
      </c>
      <c r="H31" s="290">
        <v>0.6</v>
      </c>
      <c r="I31" s="291"/>
      <c r="J31" s="292">
        <v>70000</v>
      </c>
      <c r="K31" s="290">
        <v>0</v>
      </c>
      <c r="L31" s="299">
        <v>0</v>
      </c>
      <c r="M31" s="290">
        <v>0</v>
      </c>
      <c r="N31" s="299">
        <v>0</v>
      </c>
    </row>
    <row r="32" spans="1:17" ht="14.25" customHeight="1" x14ac:dyDescent="0.2">
      <c r="A32" s="286">
        <v>1</v>
      </c>
      <c r="B32" s="287" t="s">
        <v>913</v>
      </c>
      <c r="C32" s="287" t="s">
        <v>720</v>
      </c>
      <c r="D32" s="288">
        <v>5703234</v>
      </c>
      <c r="E32" s="288">
        <v>845200</v>
      </c>
      <c r="F32" s="287" t="s">
        <v>911</v>
      </c>
      <c r="G32" s="287" t="s">
        <v>914</v>
      </c>
      <c r="H32" s="290">
        <v>0.6</v>
      </c>
      <c r="I32" s="291"/>
      <c r="J32" s="292">
        <v>70000</v>
      </c>
      <c r="K32" s="290">
        <v>0</v>
      </c>
      <c r="L32" s="299">
        <v>0</v>
      </c>
      <c r="M32" s="290">
        <v>0</v>
      </c>
      <c r="N32" s="299">
        <v>0</v>
      </c>
    </row>
    <row r="33" spans="1:14" x14ac:dyDescent="0.2">
      <c r="A33" s="286">
        <v>1</v>
      </c>
      <c r="B33" s="287" t="s">
        <v>915</v>
      </c>
      <c r="C33" s="287" t="s">
        <v>916</v>
      </c>
      <c r="D33" s="288">
        <v>5760408</v>
      </c>
      <c r="E33" s="288">
        <v>845200</v>
      </c>
      <c r="F33" s="287" t="s">
        <v>911</v>
      </c>
      <c r="G33" s="287" t="s">
        <v>917</v>
      </c>
      <c r="H33" s="290">
        <v>1</v>
      </c>
      <c r="I33" s="291"/>
      <c r="J33" s="292">
        <v>160000</v>
      </c>
      <c r="K33" s="290">
        <v>1</v>
      </c>
      <c r="L33" s="299">
        <v>160000</v>
      </c>
      <c r="M33" s="290">
        <v>0</v>
      </c>
      <c r="N33" s="299">
        <v>0</v>
      </c>
    </row>
    <row r="34" spans="1:14" x14ac:dyDescent="0.2">
      <c r="A34" s="286">
        <v>1</v>
      </c>
      <c r="B34" s="287" t="s">
        <v>367</v>
      </c>
      <c r="C34" s="287" t="s">
        <v>918</v>
      </c>
      <c r="D34" s="288">
        <v>5763016</v>
      </c>
      <c r="E34" s="288">
        <v>845200</v>
      </c>
      <c r="F34" s="287" t="s">
        <v>911</v>
      </c>
      <c r="G34" s="287" t="s">
        <v>912</v>
      </c>
      <c r="H34" s="290">
        <v>0.6</v>
      </c>
      <c r="I34" s="291"/>
      <c r="J34" s="292">
        <v>94000</v>
      </c>
      <c r="K34" s="290">
        <v>0</v>
      </c>
      <c r="L34" s="299">
        <v>0</v>
      </c>
      <c r="M34" s="290">
        <v>0</v>
      </c>
      <c r="N34" s="299">
        <v>0</v>
      </c>
    </row>
    <row r="35" spans="1:14" s="306" customFormat="1" x14ac:dyDescent="0.2">
      <c r="A35" s="300"/>
      <c r="B35" s="315"/>
      <c r="C35" s="300"/>
      <c r="D35" s="300"/>
      <c r="E35" s="300"/>
      <c r="F35" s="300"/>
      <c r="G35" s="300"/>
      <c r="H35" s="308"/>
      <c r="I35" s="304"/>
      <c r="J35" s="305">
        <f>SUM(J31:J34)</f>
        <v>394000</v>
      </c>
      <c r="K35" s="305"/>
      <c r="L35" s="305">
        <f t="shared" ref="L35:N35" si="4">SUM(L31:L34)</f>
        <v>160000</v>
      </c>
      <c r="M35" s="305"/>
      <c r="N35" s="305">
        <f t="shared" si="4"/>
        <v>0</v>
      </c>
    </row>
    <row r="36" spans="1:14" s="320" customFormat="1" ht="15.75" x14ac:dyDescent="0.2">
      <c r="A36" s="632" t="s">
        <v>46</v>
      </c>
      <c r="B36" s="633"/>
      <c r="C36" s="633"/>
      <c r="D36" s="633"/>
      <c r="E36" s="633"/>
      <c r="F36" s="633"/>
      <c r="G36" s="633"/>
      <c r="H36" s="316">
        <f>SUM(H4:H35)</f>
        <v>18.970000000000006</v>
      </c>
      <c r="I36" s="317"/>
      <c r="J36" s="318">
        <f>J20+J25+J28+J30+J35</f>
        <v>2519000</v>
      </c>
      <c r="K36" s="319">
        <f>SUM(K4:K35)</f>
        <v>19.749999999999996</v>
      </c>
      <c r="L36" s="318">
        <f t="shared" ref="L36" si="5">L20+L25+L28+L30+L35</f>
        <v>2608933</v>
      </c>
      <c r="M36" s="319">
        <f>SUM(M4:M35)</f>
        <v>17.75</v>
      </c>
      <c r="N36" s="318">
        <f>N20+N25+N28+N30+N35</f>
        <v>2350933</v>
      </c>
    </row>
  </sheetData>
  <mergeCells count="3">
    <mergeCell ref="A1:L1"/>
    <mergeCell ref="A2:L2"/>
    <mergeCell ref="A36:G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N53"/>
  <sheetViews>
    <sheetView showGridLines="0" rightToLeft="1" view="pageBreakPreview" zoomScale="60" zoomScaleNormal="100" workbookViewId="0">
      <selection activeCell="C13" sqref="C13"/>
    </sheetView>
  </sheetViews>
  <sheetFormatPr defaultRowHeight="12.75" x14ac:dyDescent="0.2"/>
  <cols>
    <col min="1" max="1" width="25" style="3" customWidth="1"/>
    <col min="2" max="2" width="10.5703125" style="3" customWidth="1"/>
    <col min="3" max="3" width="9" style="3" customWidth="1"/>
    <col min="4" max="4" width="9.140625" style="3" hidden="1" customWidth="1"/>
    <col min="5" max="6" width="8.85546875" style="3" hidden="1" customWidth="1"/>
    <col min="7" max="7" width="8.85546875" style="3" customWidth="1"/>
    <col min="8" max="8" width="10.7109375" style="3" customWidth="1"/>
    <col min="9" max="9" width="9.28515625" style="3" customWidth="1"/>
    <col min="10" max="10" width="9.7109375" style="3" customWidth="1"/>
    <col min="11" max="11" width="8.140625" style="3" customWidth="1"/>
    <col min="12" max="12" width="9.28515625" style="3" customWidth="1"/>
    <col min="13" max="13" width="8.140625" style="3" customWidth="1"/>
    <col min="14" max="16384" width="9.140625" style="3"/>
  </cols>
  <sheetData>
    <row r="1" spans="1:14" ht="15.75" customHeight="1" x14ac:dyDescent="0.2">
      <c r="A1" s="529" t="s">
        <v>2</v>
      </c>
      <c r="B1" s="529"/>
      <c r="C1" s="529"/>
      <c r="D1" s="529"/>
      <c r="E1" s="529"/>
      <c r="F1" s="529"/>
      <c r="G1" s="529"/>
      <c r="H1" s="529"/>
      <c r="I1" s="529"/>
      <c r="J1" s="529"/>
      <c r="K1" s="529"/>
      <c r="L1" s="529"/>
      <c r="M1" s="529"/>
    </row>
    <row r="2" spans="1:14" ht="0.75" customHeight="1" x14ac:dyDescent="0.2">
      <c r="A2" s="529" t="s">
        <v>0</v>
      </c>
      <c r="B2" s="529"/>
      <c r="C2" s="529"/>
      <c r="D2" s="529"/>
      <c r="E2" s="529"/>
      <c r="F2" s="529"/>
      <c r="G2" s="529"/>
      <c r="H2" s="529"/>
      <c r="I2" s="529"/>
      <c r="J2" s="529"/>
      <c r="K2" s="529"/>
      <c r="L2" s="529"/>
      <c r="M2" s="529"/>
    </row>
    <row r="3" spans="1:14" ht="20.25" customHeight="1" x14ac:dyDescent="0.2">
      <c r="A3" s="533"/>
      <c r="B3" s="533"/>
      <c r="C3" s="533"/>
      <c r="D3" s="533"/>
      <c r="E3" s="533"/>
      <c r="F3" s="533"/>
      <c r="G3" s="533"/>
      <c r="H3" s="533"/>
      <c r="I3" s="533"/>
      <c r="J3" s="533"/>
      <c r="K3" s="533"/>
      <c r="L3" s="533"/>
      <c r="M3" s="533"/>
    </row>
    <row r="4" spans="1:14" ht="72.75" customHeight="1" x14ac:dyDescent="0.25">
      <c r="A4" s="1" t="s">
        <v>3</v>
      </c>
      <c r="B4" s="2" t="s">
        <v>5</v>
      </c>
      <c r="C4" s="2" t="s">
        <v>993</v>
      </c>
      <c r="D4" s="2" t="s">
        <v>5</v>
      </c>
      <c r="E4" s="132" t="s">
        <v>919</v>
      </c>
      <c r="F4" s="106" t="s">
        <v>7</v>
      </c>
      <c r="G4" s="106" t="s">
        <v>11</v>
      </c>
      <c r="H4" s="106" t="s">
        <v>994</v>
      </c>
      <c r="I4" s="2" t="s">
        <v>9</v>
      </c>
      <c r="J4" s="2" t="s">
        <v>10</v>
      </c>
      <c r="K4" s="2" t="s">
        <v>12</v>
      </c>
      <c r="L4" s="2" t="s">
        <v>9</v>
      </c>
      <c r="M4" s="2" t="s">
        <v>995</v>
      </c>
      <c r="N4" s="4"/>
    </row>
    <row r="5" spans="1:14" ht="15.75" x14ac:dyDescent="0.25">
      <c r="A5" s="530" t="s">
        <v>13</v>
      </c>
      <c r="B5" s="531"/>
      <c r="C5" s="531"/>
      <c r="D5" s="531"/>
      <c r="E5" s="531"/>
      <c r="F5" s="531"/>
      <c r="G5" s="531"/>
      <c r="H5" s="531"/>
      <c r="I5" s="531"/>
      <c r="J5" s="531"/>
      <c r="K5" s="531"/>
      <c r="L5" s="531"/>
      <c r="M5" s="532"/>
      <c r="N5" s="4"/>
    </row>
    <row r="6" spans="1:14" ht="15" x14ac:dyDescent="0.25">
      <c r="A6" s="6" t="s">
        <v>14</v>
      </c>
      <c r="B6" s="88">
        <v>13500</v>
      </c>
      <c r="C6" s="88">
        <v>14527</v>
      </c>
      <c r="D6" s="88"/>
      <c r="E6" s="133">
        <v>13500</v>
      </c>
      <c r="F6" s="88">
        <v>6990</v>
      </c>
      <c r="G6" s="88">
        <v>13500</v>
      </c>
      <c r="H6" s="88">
        <v>14611</v>
      </c>
      <c r="I6" s="104">
        <f>K6-H6</f>
        <v>2506</v>
      </c>
      <c r="J6" s="7" t="s">
        <v>15</v>
      </c>
      <c r="K6" s="88">
        <v>17117</v>
      </c>
      <c r="L6" s="104">
        <f>M6-K6</f>
        <v>760</v>
      </c>
      <c r="M6" s="88">
        <v>17877</v>
      </c>
      <c r="N6" s="4"/>
    </row>
    <row r="7" spans="1:14" ht="15" x14ac:dyDescent="0.25">
      <c r="A7" s="6" t="s">
        <v>16</v>
      </c>
      <c r="B7" s="88">
        <v>4528</v>
      </c>
      <c r="C7" s="88">
        <v>5100</v>
      </c>
      <c r="D7" s="88"/>
      <c r="E7" s="133">
        <v>5750</v>
      </c>
      <c r="F7" s="88">
        <v>2255</v>
      </c>
      <c r="G7" s="88">
        <v>4528</v>
      </c>
      <c r="H7" s="88">
        <v>5223</v>
      </c>
      <c r="I7" s="104">
        <f t="shared" ref="I7:I24" si="0">K7-H7</f>
        <v>606</v>
      </c>
      <c r="J7" s="7" t="s">
        <v>15</v>
      </c>
      <c r="K7" s="88">
        <v>5829</v>
      </c>
      <c r="L7" s="104">
        <f>M7-K7</f>
        <v>-3880</v>
      </c>
      <c r="M7" s="88">
        <v>1949</v>
      </c>
      <c r="N7" s="4"/>
    </row>
    <row r="8" spans="1:14" ht="15" x14ac:dyDescent="0.25">
      <c r="A8" s="6" t="s">
        <v>17</v>
      </c>
      <c r="B8" s="88">
        <v>317</v>
      </c>
      <c r="C8" s="88">
        <v>318</v>
      </c>
      <c r="D8" s="88"/>
      <c r="E8" s="133">
        <v>317</v>
      </c>
      <c r="F8" s="88">
        <v>201</v>
      </c>
      <c r="G8" s="88">
        <v>317</v>
      </c>
      <c r="H8" s="88">
        <v>389</v>
      </c>
      <c r="I8" s="104">
        <f t="shared" si="0"/>
        <v>49</v>
      </c>
      <c r="J8" s="7" t="s">
        <v>15</v>
      </c>
      <c r="K8" s="88">
        <v>438</v>
      </c>
      <c r="L8" s="104">
        <f t="shared" ref="L8:L24" si="1">M8-K8</f>
        <v>0</v>
      </c>
      <c r="M8" s="88">
        <v>438</v>
      </c>
      <c r="N8" s="4"/>
    </row>
    <row r="9" spans="1:14" ht="15" x14ac:dyDescent="0.25">
      <c r="A9" s="6" t="s">
        <v>18</v>
      </c>
      <c r="B9" s="88">
        <v>0</v>
      </c>
      <c r="C9" s="88">
        <v>0</v>
      </c>
      <c r="D9" s="88"/>
      <c r="E9" s="133">
        <v>0</v>
      </c>
      <c r="F9" s="88">
        <v>0</v>
      </c>
      <c r="G9" s="88">
        <v>0</v>
      </c>
      <c r="H9" s="88">
        <v>0</v>
      </c>
      <c r="I9" s="104">
        <f>K9-H9</f>
        <v>0</v>
      </c>
      <c r="J9" s="7" t="s">
        <v>15</v>
      </c>
      <c r="K9" s="88">
        <v>0</v>
      </c>
      <c r="L9" s="104">
        <f t="shared" si="1"/>
        <v>0</v>
      </c>
      <c r="M9" s="88">
        <v>0</v>
      </c>
      <c r="N9" s="4"/>
    </row>
    <row r="10" spans="1:14" ht="15" x14ac:dyDescent="0.25">
      <c r="A10" s="6" t="s">
        <v>19</v>
      </c>
      <c r="B10" s="88">
        <v>3206</v>
      </c>
      <c r="C10" s="88">
        <v>5975</v>
      </c>
      <c r="D10" s="88"/>
      <c r="E10" s="133">
        <v>1985</v>
      </c>
      <c r="F10" s="88">
        <v>1711</v>
      </c>
      <c r="G10" s="88">
        <v>3206</v>
      </c>
      <c r="H10" s="88">
        <v>2907</v>
      </c>
      <c r="I10" s="104">
        <f t="shared" si="0"/>
        <v>206</v>
      </c>
      <c r="J10" s="7" t="s">
        <v>15</v>
      </c>
      <c r="K10" s="88">
        <v>3113</v>
      </c>
      <c r="L10" s="104">
        <f t="shared" si="1"/>
        <v>39</v>
      </c>
      <c r="M10" s="88">
        <v>3152</v>
      </c>
      <c r="N10" s="4"/>
    </row>
    <row r="11" spans="1:14" ht="15" x14ac:dyDescent="0.25">
      <c r="A11" s="11" t="s">
        <v>20</v>
      </c>
      <c r="B11" s="89">
        <f>SUM(B6:B10)</f>
        <v>21551</v>
      </c>
      <c r="C11" s="89">
        <f t="shared" ref="C11:M11" si="2">SUM(C6:C10)</f>
        <v>25920</v>
      </c>
      <c r="D11" s="89">
        <f t="shared" si="2"/>
        <v>0</v>
      </c>
      <c r="E11" s="134">
        <f t="shared" si="2"/>
        <v>21552</v>
      </c>
      <c r="F11" s="89">
        <f t="shared" si="2"/>
        <v>11157</v>
      </c>
      <c r="G11" s="89">
        <f t="shared" si="2"/>
        <v>21551</v>
      </c>
      <c r="H11" s="89">
        <f t="shared" si="2"/>
        <v>23130</v>
      </c>
      <c r="I11" s="89">
        <f t="shared" si="2"/>
        <v>3367</v>
      </c>
      <c r="J11" s="89"/>
      <c r="K11" s="89">
        <f t="shared" si="2"/>
        <v>26497</v>
      </c>
      <c r="L11" s="92">
        <f t="shared" si="2"/>
        <v>-3081</v>
      </c>
      <c r="M11" s="89">
        <f t="shared" si="2"/>
        <v>23416</v>
      </c>
      <c r="N11" s="4"/>
    </row>
    <row r="12" spans="1:14" ht="15" x14ac:dyDescent="0.25">
      <c r="A12" s="6" t="s">
        <v>21</v>
      </c>
      <c r="B12" s="88">
        <v>14479</v>
      </c>
      <c r="C12" s="88">
        <v>16122</v>
      </c>
      <c r="D12" s="88"/>
      <c r="E12" s="133">
        <v>14479</v>
      </c>
      <c r="F12" s="88">
        <v>8081</v>
      </c>
      <c r="G12" s="88">
        <v>14479</v>
      </c>
      <c r="H12" s="88">
        <v>17315</v>
      </c>
      <c r="I12" s="104">
        <f t="shared" si="0"/>
        <v>1272</v>
      </c>
      <c r="J12" s="7" t="s">
        <v>15</v>
      </c>
      <c r="K12" s="88">
        <v>18587</v>
      </c>
      <c r="L12" s="104">
        <f t="shared" si="1"/>
        <v>-1496</v>
      </c>
      <c r="M12" s="88">
        <v>17091</v>
      </c>
      <c r="N12" s="4"/>
    </row>
    <row r="13" spans="1:14" ht="15" x14ac:dyDescent="0.25">
      <c r="A13" s="6" t="s">
        <v>22</v>
      </c>
      <c r="B13" s="88">
        <v>4151</v>
      </c>
      <c r="C13" s="88">
        <v>6105</v>
      </c>
      <c r="D13" s="88"/>
      <c r="E13" s="133">
        <v>4151</v>
      </c>
      <c r="F13" s="88">
        <v>2184</v>
      </c>
      <c r="G13" s="88">
        <v>4151</v>
      </c>
      <c r="H13" s="88">
        <v>5833</v>
      </c>
      <c r="I13" s="104">
        <f t="shared" si="0"/>
        <v>-224</v>
      </c>
      <c r="J13" s="7" t="s">
        <v>15</v>
      </c>
      <c r="K13" s="88">
        <v>5609</v>
      </c>
      <c r="L13" s="104">
        <f t="shared" si="1"/>
        <v>0</v>
      </c>
      <c r="M13" s="88">
        <v>5609</v>
      </c>
      <c r="N13" s="4"/>
    </row>
    <row r="14" spans="1:14" ht="15" x14ac:dyDescent="0.25">
      <c r="A14" s="6" t="s">
        <v>23</v>
      </c>
      <c r="B14" s="88">
        <v>821</v>
      </c>
      <c r="C14" s="88">
        <v>2413</v>
      </c>
      <c r="D14" s="88"/>
      <c r="E14" s="133">
        <v>1044</v>
      </c>
      <c r="F14" s="88">
        <v>199</v>
      </c>
      <c r="G14" s="88">
        <v>821</v>
      </c>
      <c r="H14" s="88">
        <v>1069</v>
      </c>
      <c r="I14" s="104">
        <f t="shared" si="0"/>
        <v>-310</v>
      </c>
      <c r="J14" s="7" t="s">
        <v>15</v>
      </c>
      <c r="K14" s="88">
        <v>759</v>
      </c>
      <c r="L14" s="104">
        <f t="shared" si="1"/>
        <v>0</v>
      </c>
      <c r="M14" s="88">
        <v>759</v>
      </c>
      <c r="N14" s="4"/>
    </row>
    <row r="15" spans="1:14" ht="15" x14ac:dyDescent="0.25">
      <c r="A15" s="6" t="s">
        <v>24</v>
      </c>
      <c r="B15" s="88">
        <v>8439</v>
      </c>
      <c r="C15" s="88">
        <v>10167</v>
      </c>
      <c r="D15" s="88"/>
      <c r="E15" s="133">
        <v>8216</v>
      </c>
      <c r="F15" s="88">
        <v>4801</v>
      </c>
      <c r="G15" s="88">
        <v>8439</v>
      </c>
      <c r="H15" s="88">
        <v>10459</v>
      </c>
      <c r="I15" s="104">
        <f t="shared" si="0"/>
        <v>87</v>
      </c>
      <c r="J15" s="7" t="s">
        <v>15</v>
      </c>
      <c r="K15" s="88">
        <v>10546</v>
      </c>
      <c r="L15" s="104">
        <f t="shared" si="1"/>
        <v>0</v>
      </c>
      <c r="M15" s="88">
        <v>10546</v>
      </c>
      <c r="N15" s="4"/>
    </row>
    <row r="16" spans="1:14" ht="15" x14ac:dyDescent="0.25">
      <c r="A16" s="6" t="s">
        <v>25</v>
      </c>
      <c r="B16" s="88">
        <v>0</v>
      </c>
      <c r="C16" s="88">
        <v>0</v>
      </c>
      <c r="D16" s="88"/>
      <c r="E16" s="133">
        <v>0</v>
      </c>
      <c r="F16" s="88">
        <v>115</v>
      </c>
      <c r="G16" s="88">
        <v>0</v>
      </c>
      <c r="H16" s="88">
        <v>1688</v>
      </c>
      <c r="I16" s="104">
        <f t="shared" si="0"/>
        <v>-1345</v>
      </c>
      <c r="J16" s="7" t="s">
        <v>15</v>
      </c>
      <c r="K16" s="88">
        <v>343</v>
      </c>
      <c r="L16" s="104">
        <f t="shared" si="1"/>
        <v>0</v>
      </c>
      <c r="M16" s="88">
        <v>343</v>
      </c>
      <c r="N16" s="4"/>
    </row>
    <row r="17" spans="1:14" ht="15" x14ac:dyDescent="0.25">
      <c r="A17" s="11" t="s">
        <v>26</v>
      </c>
      <c r="B17" s="89">
        <f>SUM(B12:B16)</f>
        <v>27890</v>
      </c>
      <c r="C17" s="89">
        <f t="shared" ref="C17:L17" si="3">SUM(C12:C16)</f>
        <v>34807</v>
      </c>
      <c r="D17" s="89">
        <f t="shared" si="3"/>
        <v>0</v>
      </c>
      <c r="E17" s="134">
        <f t="shared" si="3"/>
        <v>27890</v>
      </c>
      <c r="F17" s="89">
        <f t="shared" si="3"/>
        <v>15380</v>
      </c>
      <c r="G17" s="89">
        <f>SUM(G12:G16)</f>
        <v>27890</v>
      </c>
      <c r="H17" s="89">
        <f t="shared" si="3"/>
        <v>36364</v>
      </c>
      <c r="I17" s="89">
        <f t="shared" si="3"/>
        <v>-520</v>
      </c>
      <c r="J17" s="89"/>
      <c r="K17" s="89">
        <f>SUM(K12:K16)</f>
        <v>35844</v>
      </c>
      <c r="L17" s="92">
        <f t="shared" si="3"/>
        <v>-1496</v>
      </c>
      <c r="M17" s="89">
        <f>SUM(M12:M16)</f>
        <v>34348</v>
      </c>
      <c r="N17" s="4"/>
    </row>
    <row r="18" spans="1:14" ht="15" x14ac:dyDescent="0.25">
      <c r="A18" s="6" t="s">
        <v>27</v>
      </c>
      <c r="B18" s="88">
        <v>0</v>
      </c>
      <c r="C18" s="88">
        <v>0</v>
      </c>
      <c r="D18" s="88"/>
      <c r="E18" s="133">
        <v>300</v>
      </c>
      <c r="F18" s="88">
        <v>0</v>
      </c>
      <c r="G18" s="88">
        <v>0</v>
      </c>
      <c r="H18" s="88">
        <v>0</v>
      </c>
      <c r="I18" s="104">
        <f>K18-H18</f>
        <v>0</v>
      </c>
      <c r="J18" s="7" t="s">
        <v>15</v>
      </c>
      <c r="K18" s="88">
        <v>0</v>
      </c>
      <c r="L18" s="104">
        <f t="shared" si="1"/>
        <v>0</v>
      </c>
      <c r="M18" s="88">
        <v>0</v>
      </c>
      <c r="N18" s="4"/>
    </row>
    <row r="19" spans="1:14" ht="15" x14ac:dyDescent="0.25">
      <c r="A19" s="6" t="s">
        <v>28</v>
      </c>
      <c r="B19" s="88">
        <v>300</v>
      </c>
      <c r="C19" s="88">
        <v>9367</v>
      </c>
      <c r="D19" s="88"/>
      <c r="E19" s="133">
        <v>0</v>
      </c>
      <c r="F19" s="88">
        <v>8049</v>
      </c>
      <c r="G19" s="88">
        <v>300</v>
      </c>
      <c r="H19" s="88">
        <v>1181</v>
      </c>
      <c r="I19" s="104">
        <f t="shared" si="0"/>
        <v>-921</v>
      </c>
      <c r="J19" s="7" t="s">
        <v>15</v>
      </c>
      <c r="K19" s="88">
        <v>260</v>
      </c>
      <c r="L19" s="104">
        <f t="shared" si="1"/>
        <v>0</v>
      </c>
      <c r="M19" s="88">
        <v>260</v>
      </c>
      <c r="N19" s="4"/>
    </row>
    <row r="20" spans="1:14" ht="30" x14ac:dyDescent="0.25">
      <c r="A20" s="91" t="s">
        <v>29</v>
      </c>
      <c r="B20" s="90">
        <f>B11+B17+B18+B19</f>
        <v>49741</v>
      </c>
      <c r="C20" s="90">
        <f t="shared" ref="C20:M20" si="4">C11+C17+C18+C19</f>
        <v>70094</v>
      </c>
      <c r="D20" s="90">
        <f t="shared" si="4"/>
        <v>0</v>
      </c>
      <c r="E20" s="135">
        <f t="shared" si="4"/>
        <v>49742</v>
      </c>
      <c r="F20" s="90">
        <f t="shared" si="4"/>
        <v>34586</v>
      </c>
      <c r="G20" s="90">
        <f>G11+G17+G18+G19</f>
        <v>49741</v>
      </c>
      <c r="H20" s="90">
        <f t="shared" si="4"/>
        <v>60675</v>
      </c>
      <c r="I20" s="90">
        <f t="shared" si="4"/>
        <v>1926</v>
      </c>
      <c r="J20" s="90"/>
      <c r="K20" s="90">
        <f>K11+K17+K18+K19-1</f>
        <v>62600</v>
      </c>
      <c r="L20" s="105">
        <f t="shared" si="4"/>
        <v>-4577</v>
      </c>
      <c r="M20" s="90">
        <f t="shared" si="4"/>
        <v>58024</v>
      </c>
      <c r="N20" s="4"/>
    </row>
    <row r="21" spans="1:14" ht="15" x14ac:dyDescent="0.25">
      <c r="A21" s="8" t="s">
        <v>30</v>
      </c>
      <c r="B21" s="88">
        <v>4270</v>
      </c>
      <c r="C21" s="88">
        <v>4971</v>
      </c>
      <c r="D21" s="88"/>
      <c r="E21" s="133">
        <v>4270</v>
      </c>
      <c r="F21" s="88">
        <v>2651</v>
      </c>
      <c r="G21" s="88">
        <v>4270</v>
      </c>
      <c r="H21" s="88">
        <v>5284</v>
      </c>
      <c r="I21" s="104">
        <f t="shared" si="0"/>
        <v>0</v>
      </c>
      <c r="J21" s="7" t="s">
        <v>15</v>
      </c>
      <c r="K21" s="88">
        <v>5284</v>
      </c>
      <c r="L21" s="104">
        <f t="shared" si="1"/>
        <v>116</v>
      </c>
      <c r="M21" s="88">
        <v>5400</v>
      </c>
      <c r="N21" s="4"/>
    </row>
    <row r="22" spans="1:14" ht="15" x14ac:dyDescent="0.25">
      <c r="A22" s="8" t="s">
        <v>31</v>
      </c>
      <c r="B22" s="88">
        <v>0</v>
      </c>
      <c r="C22" s="88">
        <v>4598</v>
      </c>
      <c r="D22" s="88"/>
      <c r="E22" s="133">
        <v>0</v>
      </c>
      <c r="F22" s="88">
        <v>4598</v>
      </c>
      <c r="G22" s="88">
        <v>0</v>
      </c>
      <c r="H22" s="88">
        <v>0</v>
      </c>
      <c r="I22" s="104">
        <f t="shared" si="0"/>
        <v>0</v>
      </c>
      <c r="J22" s="7"/>
      <c r="K22" s="88">
        <v>0</v>
      </c>
      <c r="L22" s="104">
        <f t="shared" si="1"/>
        <v>0</v>
      </c>
      <c r="M22" s="88">
        <v>0</v>
      </c>
      <c r="N22" s="4"/>
    </row>
    <row r="23" spans="1:14" ht="15" x14ac:dyDescent="0.25">
      <c r="A23" s="11" t="s">
        <v>32</v>
      </c>
      <c r="B23" s="89">
        <f>SUM(B20:B22)</f>
        <v>54011</v>
      </c>
      <c r="C23" s="89">
        <f t="shared" ref="C23:M23" si="5">SUM(C20:C22)</f>
        <v>79663</v>
      </c>
      <c r="D23" s="89">
        <f t="shared" si="5"/>
        <v>0</v>
      </c>
      <c r="E23" s="134">
        <f t="shared" si="5"/>
        <v>54012</v>
      </c>
      <c r="F23" s="89">
        <f t="shared" si="5"/>
        <v>41835</v>
      </c>
      <c r="G23" s="89">
        <f t="shared" si="5"/>
        <v>54011</v>
      </c>
      <c r="H23" s="89">
        <f t="shared" si="5"/>
        <v>65959</v>
      </c>
      <c r="I23" s="89">
        <f t="shared" si="5"/>
        <v>1926</v>
      </c>
      <c r="J23" s="89"/>
      <c r="K23" s="89">
        <f t="shared" si="5"/>
        <v>67884</v>
      </c>
      <c r="L23" s="92">
        <f t="shared" si="5"/>
        <v>-4461</v>
      </c>
      <c r="M23" s="89">
        <f t="shared" si="5"/>
        <v>63424</v>
      </c>
      <c r="N23" s="4"/>
    </row>
    <row r="24" spans="1:14" ht="15" x14ac:dyDescent="0.25">
      <c r="A24" s="6" t="s">
        <v>33</v>
      </c>
      <c r="B24" s="88">
        <v>0</v>
      </c>
      <c r="C24" s="88">
        <v>0</v>
      </c>
      <c r="D24" s="88"/>
      <c r="E24" s="133">
        <v>0</v>
      </c>
      <c r="F24" s="88">
        <v>770</v>
      </c>
      <c r="G24" s="88">
        <v>0</v>
      </c>
      <c r="H24" s="88">
        <v>2948</v>
      </c>
      <c r="I24" s="104">
        <f t="shared" si="0"/>
        <v>-1087</v>
      </c>
      <c r="J24" s="7"/>
      <c r="K24" s="88">
        <v>1861</v>
      </c>
      <c r="L24" s="104">
        <f t="shared" si="1"/>
        <v>0</v>
      </c>
      <c r="M24" s="88">
        <v>1861</v>
      </c>
      <c r="N24" s="4"/>
    </row>
    <row r="25" spans="1:14" ht="15" x14ac:dyDescent="0.25">
      <c r="A25" s="11" t="s">
        <v>34</v>
      </c>
      <c r="B25" s="89">
        <f>SUM(B23:B24)</f>
        <v>54011</v>
      </c>
      <c r="C25" s="89">
        <f t="shared" ref="C25:L25" si="6">SUM(C23:C24)</f>
        <v>79663</v>
      </c>
      <c r="D25" s="89">
        <f t="shared" si="6"/>
        <v>0</v>
      </c>
      <c r="E25" s="134">
        <f t="shared" si="6"/>
        <v>54012</v>
      </c>
      <c r="F25" s="89">
        <f t="shared" si="6"/>
        <v>42605</v>
      </c>
      <c r="G25" s="89">
        <f>SUM(G23:G24)</f>
        <v>54011</v>
      </c>
      <c r="H25" s="89">
        <f>SUM(H23:H24)-3</f>
        <v>68904</v>
      </c>
      <c r="I25" s="89">
        <f>SUM(I23:I24)</f>
        <v>839</v>
      </c>
      <c r="J25" s="89"/>
      <c r="K25" s="89">
        <f>SUM(K23:K24)+1</f>
        <v>69746</v>
      </c>
      <c r="L25" s="92">
        <f t="shared" si="6"/>
        <v>-4461</v>
      </c>
      <c r="M25" s="89">
        <f>SUM(M23:M24)</f>
        <v>65285</v>
      </c>
      <c r="N25" s="4"/>
    </row>
    <row r="26" spans="1:14" ht="15" hidden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4"/>
    </row>
    <row r="27" spans="1:14" ht="15.75" x14ac:dyDescent="0.25">
      <c r="A27" s="530" t="s">
        <v>35</v>
      </c>
      <c r="B27" s="531"/>
      <c r="C27" s="531"/>
      <c r="D27" s="531"/>
      <c r="E27" s="531"/>
      <c r="F27" s="531"/>
      <c r="G27" s="531"/>
      <c r="H27" s="531"/>
      <c r="I27" s="531"/>
      <c r="J27" s="531"/>
      <c r="K27" s="531"/>
      <c r="L27" s="531"/>
      <c r="M27" s="532"/>
      <c r="N27" s="4"/>
    </row>
    <row r="28" spans="1:14" ht="15" x14ac:dyDescent="0.25">
      <c r="A28" s="6" t="s">
        <v>36</v>
      </c>
      <c r="B28" s="88">
        <v>10395</v>
      </c>
      <c r="C28" s="88">
        <v>9803</v>
      </c>
      <c r="D28" s="88"/>
      <c r="E28" s="133">
        <v>10845</v>
      </c>
      <c r="F28" s="88">
        <v>5025</v>
      </c>
      <c r="G28" s="88">
        <v>10395</v>
      </c>
      <c r="H28" s="88">
        <v>9506</v>
      </c>
      <c r="I28" s="104">
        <f t="shared" ref="I28:I47" si="7">K28-H28</f>
        <v>975</v>
      </c>
      <c r="J28" s="7" t="s">
        <v>37</v>
      </c>
      <c r="K28" s="88">
        <v>10481</v>
      </c>
      <c r="L28" s="104">
        <f t="shared" ref="L28:L36" si="8">M28-K28</f>
        <v>-365</v>
      </c>
      <c r="M28" s="88">
        <v>10116</v>
      </c>
      <c r="N28" s="4"/>
    </row>
    <row r="29" spans="1:14" ht="15" x14ac:dyDescent="0.25">
      <c r="A29" s="6" t="s">
        <v>38</v>
      </c>
      <c r="B29" s="88">
        <v>11003</v>
      </c>
      <c r="C29" s="88">
        <v>14380</v>
      </c>
      <c r="D29" s="88"/>
      <c r="E29" s="133">
        <v>11327</v>
      </c>
      <c r="F29" s="88">
        <v>6345</v>
      </c>
      <c r="G29" s="88">
        <v>11003</v>
      </c>
      <c r="H29" s="88">
        <v>14753</v>
      </c>
      <c r="I29" s="104">
        <f t="shared" si="7"/>
        <v>-1044</v>
      </c>
      <c r="J29" s="7" t="s">
        <v>39</v>
      </c>
      <c r="K29" s="88">
        <v>13709</v>
      </c>
      <c r="L29" s="104">
        <f t="shared" si="8"/>
        <v>-1277</v>
      </c>
      <c r="M29" s="88">
        <v>12432</v>
      </c>
      <c r="N29" s="4"/>
    </row>
    <row r="30" spans="1:14" ht="15" x14ac:dyDescent="0.25">
      <c r="A30" s="6" t="s">
        <v>16</v>
      </c>
      <c r="B30" s="88">
        <v>8024</v>
      </c>
      <c r="C30" s="88">
        <v>10334</v>
      </c>
      <c r="D30" s="88"/>
      <c r="E30" s="133">
        <v>7700</v>
      </c>
      <c r="F30" s="88">
        <v>4738</v>
      </c>
      <c r="G30" s="88">
        <v>8024</v>
      </c>
      <c r="H30" s="88">
        <v>6742</v>
      </c>
      <c r="I30" s="104">
        <f t="shared" si="7"/>
        <v>-12</v>
      </c>
      <c r="J30" s="7"/>
      <c r="K30" s="88">
        <v>6730</v>
      </c>
      <c r="L30" s="104">
        <f t="shared" si="8"/>
        <v>-6730</v>
      </c>
      <c r="M30" s="88">
        <v>0</v>
      </c>
      <c r="N30" s="4"/>
    </row>
    <row r="31" spans="1:14" ht="15" x14ac:dyDescent="0.25">
      <c r="A31" s="11" t="s">
        <v>40</v>
      </c>
      <c r="B31" s="89">
        <f>SUM(B28:B30)</f>
        <v>29422</v>
      </c>
      <c r="C31" s="89">
        <f t="shared" ref="C31:L31" si="9">SUM(C28:C30)</f>
        <v>34517</v>
      </c>
      <c r="D31" s="89">
        <f t="shared" si="9"/>
        <v>0</v>
      </c>
      <c r="E31" s="134">
        <f t="shared" si="9"/>
        <v>29872</v>
      </c>
      <c r="F31" s="89">
        <f t="shared" si="9"/>
        <v>16108</v>
      </c>
      <c r="G31" s="89">
        <f>SUM(G28:G30)</f>
        <v>29422</v>
      </c>
      <c r="H31" s="89">
        <f>SUM(H28:H30)</f>
        <v>31001</v>
      </c>
      <c r="I31" s="89">
        <f t="shared" si="9"/>
        <v>-81</v>
      </c>
      <c r="J31" s="89"/>
      <c r="K31" s="89">
        <f>SUM(K28:K30)</f>
        <v>30920</v>
      </c>
      <c r="L31" s="92">
        <f t="shared" si="9"/>
        <v>-8372</v>
      </c>
      <c r="M31" s="89">
        <f>SUM(M28:M30)-1</f>
        <v>22547</v>
      </c>
      <c r="N31" s="4"/>
    </row>
    <row r="32" spans="1:14" ht="15" x14ac:dyDescent="0.25">
      <c r="A32" s="6" t="s">
        <v>41</v>
      </c>
      <c r="B32" s="88">
        <v>8547</v>
      </c>
      <c r="C32" s="88">
        <v>10326</v>
      </c>
      <c r="D32" s="88"/>
      <c r="E32" s="133">
        <v>8047</v>
      </c>
      <c r="F32" s="88">
        <v>5208</v>
      </c>
      <c r="G32" s="88">
        <v>8547</v>
      </c>
      <c r="H32" s="88">
        <v>11486</v>
      </c>
      <c r="I32" s="104">
        <f t="shared" si="7"/>
        <v>-717</v>
      </c>
      <c r="J32" s="7" t="s">
        <v>37</v>
      </c>
      <c r="K32" s="88">
        <v>10769</v>
      </c>
      <c r="L32" s="104">
        <f t="shared" si="8"/>
        <v>-2854</v>
      </c>
      <c r="M32" s="88">
        <v>7915</v>
      </c>
      <c r="N32" s="4"/>
    </row>
    <row r="33" spans="1:14" ht="15" x14ac:dyDescent="0.25">
      <c r="A33" s="6" t="s">
        <v>42</v>
      </c>
      <c r="B33" s="88">
        <v>9907</v>
      </c>
      <c r="C33" s="88">
        <v>10399</v>
      </c>
      <c r="D33" s="88"/>
      <c r="E33" s="133">
        <v>10087</v>
      </c>
      <c r="F33" s="88">
        <v>5348</v>
      </c>
      <c r="G33" s="88">
        <v>9907</v>
      </c>
      <c r="H33" s="88">
        <v>11808</v>
      </c>
      <c r="I33" s="104">
        <f t="shared" si="7"/>
        <v>323</v>
      </c>
      <c r="J33" s="7" t="s">
        <v>39</v>
      </c>
      <c r="K33" s="88">
        <v>12131</v>
      </c>
      <c r="L33" s="104">
        <f t="shared" si="8"/>
        <v>2269</v>
      </c>
      <c r="M33" s="88">
        <v>14400</v>
      </c>
      <c r="N33" s="4"/>
    </row>
    <row r="34" spans="1:14" ht="15" x14ac:dyDescent="0.25">
      <c r="A34" s="11" t="s">
        <v>43</v>
      </c>
      <c r="B34" s="89">
        <f>SUM(B32:B33)</f>
        <v>18454</v>
      </c>
      <c r="C34" s="89">
        <f t="shared" ref="C34:I34" si="10">SUM(C32:C33)</f>
        <v>20725</v>
      </c>
      <c r="D34" s="89">
        <f t="shared" si="10"/>
        <v>0</v>
      </c>
      <c r="E34" s="134">
        <f t="shared" si="10"/>
        <v>18134</v>
      </c>
      <c r="F34" s="89">
        <f t="shared" si="10"/>
        <v>10556</v>
      </c>
      <c r="G34" s="89">
        <f t="shared" si="10"/>
        <v>18454</v>
      </c>
      <c r="H34" s="89">
        <f>SUM(H32:H33)</f>
        <v>23294</v>
      </c>
      <c r="I34" s="89">
        <f t="shared" si="10"/>
        <v>-394</v>
      </c>
      <c r="J34" s="89"/>
      <c r="K34" s="89">
        <f>SUM(K32:K33)</f>
        <v>22900</v>
      </c>
      <c r="L34" s="104">
        <f t="shared" si="8"/>
        <v>-585</v>
      </c>
      <c r="M34" s="89">
        <f>SUM(M32:M33)</f>
        <v>22315</v>
      </c>
      <c r="N34" s="4"/>
    </row>
    <row r="35" spans="1:14" ht="15" x14ac:dyDescent="0.25">
      <c r="A35" s="6" t="s">
        <v>44</v>
      </c>
      <c r="B35" s="88">
        <v>1873</v>
      </c>
      <c r="C35" s="88">
        <v>2231</v>
      </c>
      <c r="D35" s="88"/>
      <c r="E35" s="133">
        <v>1873</v>
      </c>
      <c r="F35" s="88">
        <v>1208</v>
      </c>
      <c r="G35" s="88">
        <v>1873</v>
      </c>
      <c r="H35" s="88">
        <v>2352</v>
      </c>
      <c r="I35" s="104">
        <f t="shared" si="7"/>
        <v>14</v>
      </c>
      <c r="J35" s="7" t="s">
        <v>37</v>
      </c>
      <c r="K35" s="88">
        <v>2366</v>
      </c>
      <c r="L35" s="104">
        <f t="shared" si="8"/>
        <v>48</v>
      </c>
      <c r="M35" s="88">
        <v>2414</v>
      </c>
      <c r="N35" s="4"/>
    </row>
    <row r="36" spans="1:14" ht="15" x14ac:dyDescent="0.25">
      <c r="A36" s="6" t="s">
        <v>45</v>
      </c>
      <c r="B36" s="88">
        <v>4820</v>
      </c>
      <c r="C36" s="88">
        <v>5767</v>
      </c>
      <c r="D36" s="88"/>
      <c r="E36" s="133">
        <v>4820</v>
      </c>
      <c r="F36" s="88">
        <v>2754</v>
      </c>
      <c r="G36" s="88">
        <v>4820</v>
      </c>
      <c r="H36" s="88">
        <v>6265</v>
      </c>
      <c r="I36" s="104">
        <f t="shared" si="7"/>
        <v>-252</v>
      </c>
      <c r="J36" s="7" t="s">
        <v>39</v>
      </c>
      <c r="K36" s="88">
        <v>6013</v>
      </c>
      <c r="L36" s="104">
        <f t="shared" si="8"/>
        <v>0</v>
      </c>
      <c r="M36" s="88">
        <v>6013</v>
      </c>
      <c r="N36" s="4"/>
    </row>
    <row r="37" spans="1:14" ht="15" x14ac:dyDescent="0.25">
      <c r="A37" s="11" t="s">
        <v>46</v>
      </c>
      <c r="B37" s="89">
        <f>SUM(B35:B36)</f>
        <v>6693</v>
      </c>
      <c r="C37" s="89">
        <f t="shared" ref="C37:M37" si="11">SUM(C35:C36)</f>
        <v>7998</v>
      </c>
      <c r="D37" s="89">
        <f t="shared" si="11"/>
        <v>0</v>
      </c>
      <c r="E37" s="134">
        <f t="shared" si="11"/>
        <v>6693</v>
      </c>
      <c r="F37" s="89">
        <f t="shared" si="11"/>
        <v>3962</v>
      </c>
      <c r="G37" s="89">
        <f t="shared" si="11"/>
        <v>6693</v>
      </c>
      <c r="H37" s="89">
        <f>SUM(H35:H36)</f>
        <v>8617</v>
      </c>
      <c r="I37" s="89">
        <f t="shared" si="11"/>
        <v>-238</v>
      </c>
      <c r="J37" s="89"/>
      <c r="K37" s="89">
        <f t="shared" si="11"/>
        <v>8379</v>
      </c>
      <c r="L37" s="92">
        <f t="shared" si="11"/>
        <v>48</v>
      </c>
      <c r="M37" s="89">
        <f t="shared" si="11"/>
        <v>8427</v>
      </c>
      <c r="N37" s="4"/>
    </row>
    <row r="38" spans="1:14" ht="15" x14ac:dyDescent="0.25">
      <c r="A38" s="6" t="s">
        <v>47</v>
      </c>
      <c r="B38" s="88">
        <v>2257</v>
      </c>
      <c r="C38" s="88">
        <v>2127</v>
      </c>
      <c r="D38" s="88"/>
      <c r="E38" s="133">
        <v>2257</v>
      </c>
      <c r="F38" s="88">
        <v>1079</v>
      </c>
      <c r="G38" s="88">
        <v>2257</v>
      </c>
      <c r="H38" s="88">
        <v>2043</v>
      </c>
      <c r="I38" s="104">
        <f t="shared" si="7"/>
        <v>0</v>
      </c>
      <c r="J38" s="7" t="s">
        <v>48</v>
      </c>
      <c r="K38" s="88">
        <v>2043</v>
      </c>
      <c r="L38" s="104">
        <f t="shared" ref="L38:L39" si="12">M38-K38</f>
        <v>-2043</v>
      </c>
      <c r="M38" s="88">
        <v>0</v>
      </c>
      <c r="N38" s="4"/>
    </row>
    <row r="39" spans="1:14" ht="15" x14ac:dyDescent="0.25">
      <c r="A39" s="6" t="s">
        <v>49</v>
      </c>
      <c r="B39" s="88">
        <f>4459-B38</f>
        <v>2202</v>
      </c>
      <c r="C39" s="88">
        <v>9022</v>
      </c>
      <c r="D39" s="88"/>
      <c r="E39" s="133">
        <v>2202</v>
      </c>
      <c r="F39" s="88">
        <v>8305</v>
      </c>
      <c r="G39" s="88">
        <v>2202</v>
      </c>
      <c r="H39" s="137">
        <v>1349</v>
      </c>
      <c r="I39" s="104">
        <f t="shared" si="7"/>
        <v>677</v>
      </c>
      <c r="J39" s="7" t="s">
        <v>48</v>
      </c>
      <c r="K39" s="88">
        <v>2026</v>
      </c>
      <c r="L39" s="104">
        <f t="shared" si="12"/>
        <v>2516</v>
      </c>
      <c r="M39" s="88">
        <v>4542</v>
      </c>
      <c r="N39" s="4"/>
    </row>
    <row r="40" spans="1:14" ht="15" x14ac:dyDescent="0.25">
      <c r="A40" s="11" t="s">
        <v>50</v>
      </c>
      <c r="B40" s="89">
        <f>SUM(B38:B39)</f>
        <v>4459</v>
      </c>
      <c r="C40" s="89">
        <f t="shared" ref="C40:M40" si="13">SUM(C38:C39)</f>
        <v>11149</v>
      </c>
      <c r="D40" s="89">
        <f t="shared" si="13"/>
        <v>0</v>
      </c>
      <c r="E40" s="134">
        <f t="shared" si="13"/>
        <v>4459</v>
      </c>
      <c r="F40" s="89">
        <f>SUM(F38:F39)+1</f>
        <v>9385</v>
      </c>
      <c r="G40" s="89">
        <f t="shared" si="13"/>
        <v>4459</v>
      </c>
      <c r="H40" s="89">
        <f t="shared" si="13"/>
        <v>3392</v>
      </c>
      <c r="I40" s="89">
        <f t="shared" si="13"/>
        <v>677</v>
      </c>
      <c r="J40" s="89"/>
      <c r="K40" s="89">
        <f t="shared" si="13"/>
        <v>4069</v>
      </c>
      <c r="L40" s="92">
        <f t="shared" si="13"/>
        <v>473</v>
      </c>
      <c r="M40" s="89">
        <f t="shared" si="13"/>
        <v>4542</v>
      </c>
      <c r="N40" s="4"/>
    </row>
    <row r="41" spans="1:14" ht="15" x14ac:dyDescent="0.25">
      <c r="A41" s="6" t="s">
        <v>51</v>
      </c>
      <c r="B41" s="88">
        <v>2009</v>
      </c>
      <c r="C41" s="88">
        <v>3017</v>
      </c>
      <c r="D41" s="88"/>
      <c r="E41" s="133">
        <v>1409</v>
      </c>
      <c r="F41" s="88">
        <v>2007</v>
      </c>
      <c r="G41" s="88">
        <v>2009</v>
      </c>
      <c r="H41" s="88">
        <v>2469</v>
      </c>
      <c r="I41" s="104">
        <f t="shared" si="7"/>
        <v>-244</v>
      </c>
      <c r="J41" s="7"/>
      <c r="K41" s="88">
        <v>2225</v>
      </c>
      <c r="L41" s="104">
        <f t="shared" ref="L41:L42" si="14">M41-K41</f>
        <v>-1925</v>
      </c>
      <c r="M41" s="88">
        <v>300</v>
      </c>
      <c r="N41" s="4"/>
    </row>
    <row r="42" spans="1:14" ht="15" x14ac:dyDescent="0.25">
      <c r="A42" s="6" t="s">
        <v>52</v>
      </c>
      <c r="B42" s="88">
        <v>55</v>
      </c>
      <c r="C42" s="88">
        <v>3974</v>
      </c>
      <c r="D42" s="88"/>
      <c r="E42" s="133">
        <v>706</v>
      </c>
      <c r="F42" s="88">
        <v>1185</v>
      </c>
      <c r="G42" s="88">
        <v>55</v>
      </c>
      <c r="H42" s="88">
        <v>1781</v>
      </c>
      <c r="I42" s="104">
        <f t="shared" si="7"/>
        <v>-1772</v>
      </c>
      <c r="J42" s="7"/>
      <c r="K42" s="88">
        <v>9</v>
      </c>
      <c r="L42" s="104">
        <f t="shared" si="14"/>
        <v>0</v>
      </c>
      <c r="M42" s="88">
        <v>9</v>
      </c>
      <c r="N42" s="4"/>
    </row>
    <row r="43" spans="1:14" ht="30" x14ac:dyDescent="0.25">
      <c r="A43" s="91" t="s">
        <v>53</v>
      </c>
      <c r="B43" s="90">
        <f>B31+B34+B37+B40+B41+B42</f>
        <v>61092</v>
      </c>
      <c r="C43" s="90">
        <f t="shared" ref="C43:M43" si="15">C31+C34+C37+C40+C41+C42</f>
        <v>81380</v>
      </c>
      <c r="D43" s="90">
        <f t="shared" si="15"/>
        <v>0</v>
      </c>
      <c r="E43" s="135">
        <f t="shared" si="15"/>
        <v>61273</v>
      </c>
      <c r="F43" s="90">
        <f>F31+F34+F37+F40+F41+F42</f>
        <v>43203</v>
      </c>
      <c r="G43" s="90">
        <f t="shared" si="15"/>
        <v>61092</v>
      </c>
      <c r="H43" s="90">
        <f t="shared" si="15"/>
        <v>70554</v>
      </c>
      <c r="I43" s="90">
        <f t="shared" si="15"/>
        <v>-2052</v>
      </c>
      <c r="J43" s="90"/>
      <c r="K43" s="90">
        <f t="shared" si="15"/>
        <v>68502</v>
      </c>
      <c r="L43" s="105">
        <f t="shared" si="15"/>
        <v>-10361</v>
      </c>
      <c r="M43" s="90">
        <f t="shared" si="15"/>
        <v>58140</v>
      </c>
      <c r="N43" s="4"/>
    </row>
    <row r="44" spans="1:14" ht="15" x14ac:dyDescent="0.25">
      <c r="A44" s="8" t="s">
        <v>30</v>
      </c>
      <c r="B44" s="88">
        <v>4270</v>
      </c>
      <c r="C44" s="88">
        <v>4598</v>
      </c>
      <c r="D44" s="88"/>
      <c r="E44" s="133">
        <v>4270</v>
      </c>
      <c r="F44" s="88">
        <v>2651</v>
      </c>
      <c r="G44" s="88">
        <v>4270</v>
      </c>
      <c r="H44" s="88">
        <v>5256</v>
      </c>
      <c r="I44" s="104">
        <f t="shared" si="7"/>
        <v>28</v>
      </c>
      <c r="J44" s="7"/>
      <c r="K44" s="88">
        <v>5284</v>
      </c>
      <c r="L44" s="104">
        <f t="shared" ref="L44:L45" si="16">M44-K44</f>
        <v>0</v>
      </c>
      <c r="M44" s="88">
        <v>5284</v>
      </c>
      <c r="N44" s="4"/>
    </row>
    <row r="45" spans="1:14" ht="15" x14ac:dyDescent="0.25">
      <c r="A45" s="8" t="s">
        <v>54</v>
      </c>
      <c r="B45" s="88">
        <v>0</v>
      </c>
      <c r="C45" s="88">
        <v>4971</v>
      </c>
      <c r="D45" s="88"/>
      <c r="E45" s="133">
        <v>0</v>
      </c>
      <c r="F45" s="88">
        <v>4598</v>
      </c>
      <c r="G45" s="88">
        <v>0</v>
      </c>
      <c r="H45" s="88">
        <v>0</v>
      </c>
      <c r="I45" s="104">
        <f t="shared" si="7"/>
        <v>0</v>
      </c>
      <c r="J45" s="7"/>
      <c r="K45" s="88">
        <v>0</v>
      </c>
      <c r="L45" s="104">
        <f t="shared" si="16"/>
        <v>0</v>
      </c>
      <c r="M45" s="88">
        <v>0</v>
      </c>
      <c r="N45" s="4"/>
    </row>
    <row r="46" spans="1:14" ht="15" x14ac:dyDescent="0.25">
      <c r="A46" s="11" t="s">
        <v>55</v>
      </c>
      <c r="B46" s="89">
        <f>SUM(B43:B45)</f>
        <v>65362</v>
      </c>
      <c r="C46" s="89">
        <f t="shared" ref="C46:M46" si="17">SUM(C43:C45)</f>
        <v>90949</v>
      </c>
      <c r="D46" s="89">
        <f t="shared" si="17"/>
        <v>0</v>
      </c>
      <c r="E46" s="134">
        <f t="shared" si="17"/>
        <v>65543</v>
      </c>
      <c r="F46" s="89">
        <f>SUM(F43:F45)+1</f>
        <v>50453</v>
      </c>
      <c r="G46" s="89">
        <f t="shared" si="17"/>
        <v>65362</v>
      </c>
      <c r="H46" s="89">
        <f t="shared" si="17"/>
        <v>75810</v>
      </c>
      <c r="I46" s="89">
        <f t="shared" si="17"/>
        <v>-2024</v>
      </c>
      <c r="J46" s="89"/>
      <c r="K46" s="89">
        <f t="shared" si="17"/>
        <v>73786</v>
      </c>
      <c r="L46" s="92">
        <f t="shared" si="17"/>
        <v>-10361</v>
      </c>
      <c r="M46" s="89">
        <f t="shared" si="17"/>
        <v>63424</v>
      </c>
      <c r="N46" s="4"/>
    </row>
    <row r="47" spans="1:14" ht="15" x14ac:dyDescent="0.25">
      <c r="A47" s="6" t="s">
        <v>56</v>
      </c>
      <c r="B47" s="88">
        <v>0</v>
      </c>
      <c r="C47" s="88">
        <v>0</v>
      </c>
      <c r="D47" s="88"/>
      <c r="E47" s="133">
        <v>0</v>
      </c>
      <c r="F47" s="88">
        <v>0</v>
      </c>
      <c r="G47" s="88">
        <v>0</v>
      </c>
      <c r="H47" s="88">
        <v>0</v>
      </c>
      <c r="I47" s="104">
        <f t="shared" si="7"/>
        <v>1861</v>
      </c>
      <c r="J47" s="7"/>
      <c r="K47" s="88">
        <v>1861</v>
      </c>
      <c r="L47" s="104">
        <f t="shared" ref="L47" si="18">M47-K47</f>
        <v>0</v>
      </c>
      <c r="M47" s="88">
        <v>1861</v>
      </c>
      <c r="N47" s="4"/>
    </row>
    <row r="48" spans="1:14" ht="15" x14ac:dyDescent="0.25">
      <c r="A48" s="11" t="s">
        <v>57</v>
      </c>
      <c r="B48" s="89">
        <f>SUM(B46:B47)</f>
        <v>65362</v>
      </c>
      <c r="C48" s="89">
        <f t="shared" ref="C48:M48" si="19">SUM(C46:C47)</f>
        <v>90949</v>
      </c>
      <c r="D48" s="89">
        <f t="shared" si="19"/>
        <v>0</v>
      </c>
      <c r="E48" s="134">
        <f t="shared" si="19"/>
        <v>65543</v>
      </c>
      <c r="F48" s="89">
        <f t="shared" si="19"/>
        <v>50453</v>
      </c>
      <c r="G48" s="89">
        <f t="shared" si="19"/>
        <v>65362</v>
      </c>
      <c r="H48" s="89">
        <f t="shared" si="19"/>
        <v>75810</v>
      </c>
      <c r="I48" s="89">
        <f t="shared" si="19"/>
        <v>-163</v>
      </c>
      <c r="J48" s="89"/>
      <c r="K48" s="89">
        <f t="shared" si="19"/>
        <v>75647</v>
      </c>
      <c r="L48" s="92">
        <f t="shared" si="19"/>
        <v>-10361</v>
      </c>
      <c r="M48" s="89">
        <f t="shared" si="19"/>
        <v>65285</v>
      </c>
      <c r="N48" s="4"/>
    </row>
    <row r="49" spans="1:14" ht="15" x14ac:dyDescent="0.25">
      <c r="A49" s="11" t="s">
        <v>58</v>
      </c>
      <c r="B49" s="92">
        <f>B25-B48</f>
        <v>-11351</v>
      </c>
      <c r="C49" s="92">
        <f t="shared" ref="C49:I49" si="20">C25-C48</f>
        <v>-11286</v>
      </c>
      <c r="D49" s="92">
        <f t="shared" si="20"/>
        <v>0</v>
      </c>
      <c r="E49" s="136">
        <f t="shared" si="20"/>
        <v>-11531</v>
      </c>
      <c r="F49" s="92">
        <f t="shared" si="20"/>
        <v>-7848</v>
      </c>
      <c r="G49" s="92">
        <f>G25-G48</f>
        <v>-11351</v>
      </c>
      <c r="H49" s="92">
        <f>H25-H48</f>
        <v>-6906</v>
      </c>
      <c r="I49" s="92">
        <f t="shared" si="20"/>
        <v>1002</v>
      </c>
      <c r="J49" s="92"/>
      <c r="K49" s="92">
        <f>K25-K48+1</f>
        <v>-5900</v>
      </c>
      <c r="L49" s="92">
        <f>L25-L48</f>
        <v>5900</v>
      </c>
      <c r="M49" s="92">
        <f>M25-M48</f>
        <v>0</v>
      </c>
      <c r="N49" s="4"/>
    </row>
    <row r="50" spans="1:14" ht="15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4"/>
    </row>
    <row r="51" spans="1:14" ht="15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4"/>
    </row>
    <row r="52" spans="1:14" ht="15" x14ac:dyDescent="0.25">
      <c r="A52" s="139" t="s">
        <v>59</v>
      </c>
      <c r="B52" s="528" t="s">
        <v>59</v>
      </c>
      <c r="C52" s="528"/>
      <c r="D52" s="139"/>
      <c r="E52" s="12"/>
      <c r="F52" s="12"/>
      <c r="G52" s="12"/>
      <c r="H52" s="139" t="s">
        <v>59</v>
      </c>
      <c r="K52" s="139"/>
      <c r="L52" s="528" t="s">
        <v>59</v>
      </c>
      <c r="M52" s="528"/>
      <c r="N52" s="4"/>
    </row>
    <row r="53" spans="1:14" ht="15" x14ac:dyDescent="0.25">
      <c r="A53" s="139" t="s">
        <v>60</v>
      </c>
      <c r="B53" s="528" t="s">
        <v>61</v>
      </c>
      <c r="C53" s="528"/>
      <c r="D53" s="139"/>
      <c r="E53" s="12"/>
      <c r="F53" s="12"/>
      <c r="G53" s="12"/>
      <c r="H53" s="12" t="s">
        <v>62</v>
      </c>
      <c r="K53" s="139"/>
      <c r="L53" s="528" t="s">
        <v>63</v>
      </c>
      <c r="M53" s="528"/>
      <c r="N53" s="4"/>
    </row>
  </sheetData>
  <mergeCells count="8">
    <mergeCell ref="B53:C53"/>
    <mergeCell ref="L53:M53"/>
    <mergeCell ref="A1:M1"/>
    <mergeCell ref="B52:C52"/>
    <mergeCell ref="L52:M52"/>
    <mergeCell ref="A27:M27"/>
    <mergeCell ref="A5:M5"/>
    <mergeCell ref="A2:M3"/>
  </mergeCells>
  <phoneticPr fontId="5" type="noConversion"/>
  <pageMargins left="0.23622047244094491" right="0.15748031496062992" top="0.39370078740157483" bottom="0.74803149606299213" header="0.31496062992125984" footer="0.31496062992125984"/>
  <pageSetup paperSize="9" scale="80" orientation="portrait" r:id="rId1"/>
  <headerFooter alignWithMargins="0">
    <oddFooter>&amp;L&amp;"David,מודגש"&amp;12&amp;P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F36"/>
  <sheetViews>
    <sheetView showGridLines="0" rightToLeft="1" view="pageBreakPreview" zoomScale="60" zoomScaleNormal="100" workbookViewId="0">
      <selection activeCell="B5" sqref="B5:B6"/>
    </sheetView>
  </sheetViews>
  <sheetFormatPr defaultRowHeight="12.75" x14ac:dyDescent="0.2"/>
  <cols>
    <col min="1" max="3" width="27.28515625" style="3" customWidth="1"/>
    <col min="4" max="16384" width="9.140625" style="3"/>
  </cols>
  <sheetData>
    <row r="1" spans="1:6" ht="15.75" customHeight="1" x14ac:dyDescent="0.2">
      <c r="A1" s="534" t="s">
        <v>64</v>
      </c>
      <c r="B1" s="534"/>
      <c r="C1" s="534"/>
      <c r="D1" s="534"/>
      <c r="E1" s="534"/>
      <c r="F1" s="534"/>
    </row>
    <row r="2" spans="1:6" ht="15.75" customHeight="1" x14ac:dyDescent="0.2">
      <c r="A2" s="534" t="str">
        <f>'טבלה 1 - התקציב הרגיל'!A2:M3</f>
        <v>מועצה מקומית עוספייה</v>
      </c>
      <c r="B2" s="534"/>
      <c r="C2" s="534"/>
      <c r="D2" s="534"/>
      <c r="E2" s="534"/>
      <c r="F2" s="534"/>
    </row>
    <row r="3" spans="1:6" ht="41.25" customHeight="1" x14ac:dyDescent="0.2">
      <c r="A3" s="13"/>
      <c r="B3" s="13"/>
      <c r="C3" s="13"/>
    </row>
    <row r="4" spans="1:6" ht="15.75" x14ac:dyDescent="0.25">
      <c r="A4" s="94" t="s">
        <v>65</v>
      </c>
      <c r="B4" s="22" t="s">
        <v>996</v>
      </c>
      <c r="C4" s="22" t="s">
        <v>997</v>
      </c>
      <c r="D4" s="20"/>
      <c r="E4" s="14"/>
      <c r="F4" s="14"/>
    </row>
    <row r="5" spans="1:6" ht="15.75" x14ac:dyDescent="0.25">
      <c r="A5" s="21" t="s">
        <v>66</v>
      </c>
      <c r="B5" s="93">
        <v>48482</v>
      </c>
      <c r="C5" s="93"/>
      <c r="D5" s="20"/>
      <c r="E5" s="14"/>
      <c r="F5" s="14"/>
    </row>
    <row r="6" spans="1:6" ht="15.75" x14ac:dyDescent="0.25">
      <c r="A6" s="21" t="s">
        <v>67</v>
      </c>
      <c r="B6" s="93">
        <v>11193</v>
      </c>
      <c r="C6" s="93"/>
      <c r="D6" s="20"/>
      <c r="E6" s="14"/>
      <c r="F6" s="14"/>
    </row>
    <row r="7" spans="1:6" ht="15.75" x14ac:dyDescent="0.25">
      <c r="A7" s="21" t="s">
        <v>68</v>
      </c>
      <c r="B7" s="93">
        <v>6063</v>
      </c>
      <c r="C7" s="93"/>
      <c r="D7" s="20"/>
      <c r="E7" s="14"/>
      <c r="F7" s="14"/>
    </row>
    <row r="8" spans="1:6" ht="15.75" x14ac:dyDescent="0.25">
      <c r="A8" s="21" t="s">
        <v>69</v>
      </c>
      <c r="B8" s="93">
        <v>238</v>
      </c>
      <c r="C8" s="93"/>
      <c r="D8" s="20"/>
      <c r="E8" s="14"/>
      <c r="F8" s="14"/>
    </row>
    <row r="9" spans="1:6" ht="15.75" x14ac:dyDescent="0.25">
      <c r="A9" s="21" t="s">
        <v>70</v>
      </c>
      <c r="B9" s="93">
        <v>2282</v>
      </c>
      <c r="C9" s="93"/>
      <c r="D9" s="20"/>
      <c r="E9" s="14"/>
      <c r="F9" s="14"/>
    </row>
    <row r="10" spans="1:6" ht="15.75" x14ac:dyDescent="0.25">
      <c r="A10" s="19"/>
      <c r="B10" s="19"/>
      <c r="C10" s="19"/>
      <c r="D10" s="20"/>
      <c r="E10" s="14"/>
      <c r="F10" s="14"/>
    </row>
    <row r="11" spans="1:6" ht="15.75" x14ac:dyDescent="0.25">
      <c r="A11" s="19"/>
      <c r="B11" s="19"/>
      <c r="C11" s="19"/>
      <c r="D11" s="20"/>
      <c r="E11" s="14"/>
      <c r="F11" s="14"/>
    </row>
    <row r="12" spans="1:6" ht="15.75" x14ac:dyDescent="0.25">
      <c r="A12" s="94" t="s">
        <v>71</v>
      </c>
      <c r="B12" s="22" t="s">
        <v>996</v>
      </c>
      <c r="C12" s="22" t="s">
        <v>998</v>
      </c>
      <c r="D12" s="20"/>
      <c r="E12" s="14"/>
      <c r="F12" s="14"/>
    </row>
    <row r="13" spans="1:6" ht="15.75" x14ac:dyDescent="0.25">
      <c r="A13" s="21" t="s">
        <v>72</v>
      </c>
      <c r="B13" s="93">
        <v>5570</v>
      </c>
      <c r="C13" s="93"/>
      <c r="D13" s="20"/>
      <c r="E13" s="14"/>
      <c r="F13" s="14"/>
    </row>
    <row r="14" spans="1:6" ht="15.75" x14ac:dyDescent="0.25">
      <c r="A14" s="21" t="s">
        <v>73</v>
      </c>
      <c r="B14" s="93">
        <v>4411</v>
      </c>
      <c r="C14" s="93"/>
      <c r="D14" s="20"/>
      <c r="E14" s="14"/>
      <c r="F14" s="14"/>
    </row>
    <row r="15" spans="1:6" ht="15.75" x14ac:dyDescent="0.25">
      <c r="A15" s="21" t="s">
        <v>74</v>
      </c>
      <c r="B15" s="93">
        <v>47258</v>
      </c>
      <c r="C15" s="93"/>
      <c r="D15" s="20"/>
      <c r="E15" s="14"/>
      <c r="F15" s="14"/>
    </row>
    <row r="16" spans="1:6" ht="15.75" x14ac:dyDescent="0.25">
      <c r="A16" s="15"/>
      <c r="B16" s="15"/>
      <c r="C16" s="15"/>
      <c r="D16" s="14"/>
      <c r="E16" s="14"/>
      <c r="F16" s="14"/>
    </row>
    <row r="17" spans="1:6" ht="15.75" x14ac:dyDescent="0.25">
      <c r="A17" s="16" t="s">
        <v>75</v>
      </c>
      <c r="B17" s="15"/>
      <c r="C17" s="15"/>
      <c r="D17" s="14"/>
      <c r="E17" s="14"/>
      <c r="F17" s="14"/>
    </row>
    <row r="18" spans="1:6" ht="15.75" x14ac:dyDescent="0.25">
      <c r="A18" s="17"/>
      <c r="B18" s="15"/>
      <c r="C18" s="15"/>
      <c r="D18" s="14"/>
      <c r="E18" s="14"/>
      <c r="F18" s="14"/>
    </row>
    <row r="19" spans="1:6" ht="15.75" x14ac:dyDescent="0.25">
      <c r="A19" s="18" t="s">
        <v>76</v>
      </c>
      <c r="B19" s="15"/>
      <c r="C19" s="15"/>
      <c r="D19" s="14"/>
      <c r="E19" s="14"/>
      <c r="F19" s="14"/>
    </row>
    <row r="20" spans="1:6" ht="15.75" x14ac:dyDescent="0.25">
      <c r="A20" s="18" t="s">
        <v>77</v>
      </c>
      <c r="B20" s="15"/>
      <c r="C20" s="15"/>
      <c r="D20" s="14"/>
      <c r="E20" s="14"/>
      <c r="F20" s="14"/>
    </row>
    <row r="21" spans="1:6" ht="15.75" x14ac:dyDescent="0.25">
      <c r="A21" s="15"/>
      <c r="B21" s="15"/>
      <c r="C21" s="15"/>
      <c r="D21" s="14"/>
      <c r="E21" s="14"/>
      <c r="F21" s="14"/>
    </row>
    <row r="22" spans="1:6" ht="15.75" x14ac:dyDescent="0.25">
      <c r="A22" s="15"/>
      <c r="B22" s="15"/>
      <c r="C22" s="15"/>
      <c r="D22" s="14"/>
      <c r="E22" s="14"/>
      <c r="F22" s="14"/>
    </row>
    <row r="23" spans="1:6" ht="238.5" customHeight="1" x14ac:dyDescent="0.25">
      <c r="A23" s="15"/>
      <c r="B23" s="15"/>
      <c r="C23" s="15"/>
      <c r="D23" s="14"/>
      <c r="E23" s="14"/>
      <c r="F23" s="14"/>
    </row>
    <row r="24" spans="1:6" ht="15.75" x14ac:dyDescent="0.25">
      <c r="A24" s="16"/>
      <c r="B24" s="16"/>
      <c r="C24" s="16"/>
      <c r="D24" s="23"/>
      <c r="E24" s="14"/>
      <c r="F24" s="14"/>
    </row>
    <row r="25" spans="1:6" ht="15.75" x14ac:dyDescent="0.25">
      <c r="A25" s="24" t="s">
        <v>78</v>
      </c>
      <c r="B25" s="16"/>
      <c r="C25" s="24" t="s">
        <v>78</v>
      </c>
      <c r="D25" s="23"/>
      <c r="E25" s="14"/>
      <c r="F25" s="14"/>
    </row>
    <row r="26" spans="1:6" ht="15.75" x14ac:dyDescent="0.25">
      <c r="A26" s="24" t="s">
        <v>60</v>
      </c>
      <c r="B26" s="16"/>
      <c r="C26" s="24" t="s">
        <v>61</v>
      </c>
      <c r="D26" s="23"/>
      <c r="E26" s="14"/>
      <c r="F26" s="14"/>
    </row>
    <row r="27" spans="1:6" ht="15.75" x14ac:dyDescent="0.25">
      <c r="A27" s="24"/>
      <c r="B27" s="16"/>
      <c r="C27" s="24"/>
      <c r="D27" s="23"/>
      <c r="E27" s="14"/>
      <c r="F27" s="14"/>
    </row>
    <row r="28" spans="1:6" ht="15.75" x14ac:dyDescent="0.25">
      <c r="A28" s="24"/>
      <c r="B28" s="16"/>
      <c r="C28" s="16"/>
      <c r="D28" s="23"/>
      <c r="E28" s="14"/>
      <c r="F28" s="14"/>
    </row>
    <row r="29" spans="1:6" ht="15.75" x14ac:dyDescent="0.25">
      <c r="A29" s="24"/>
      <c r="B29" s="16"/>
      <c r="C29" s="16"/>
      <c r="D29" s="23"/>
      <c r="E29" s="14"/>
      <c r="F29" s="14"/>
    </row>
    <row r="30" spans="1:6" ht="15.75" x14ac:dyDescent="0.25">
      <c r="A30" s="24" t="s">
        <v>78</v>
      </c>
      <c r="B30" s="16"/>
      <c r="C30" s="24" t="s">
        <v>78</v>
      </c>
      <c r="D30" s="23"/>
      <c r="E30" s="14"/>
      <c r="F30" s="14"/>
    </row>
    <row r="31" spans="1:6" ht="15.75" x14ac:dyDescent="0.25">
      <c r="A31" s="24" t="s">
        <v>63</v>
      </c>
      <c r="B31" s="24"/>
      <c r="C31" s="24" t="s">
        <v>62</v>
      </c>
      <c r="D31" s="23"/>
      <c r="E31" s="14"/>
      <c r="F31" s="14"/>
    </row>
    <row r="32" spans="1:6" ht="15.75" x14ac:dyDescent="0.25">
      <c r="A32" s="16"/>
      <c r="B32" s="16"/>
      <c r="C32" s="16"/>
      <c r="D32" s="23"/>
      <c r="E32" s="14"/>
      <c r="F32" s="14"/>
    </row>
    <row r="33" spans="1:6" ht="15.75" x14ac:dyDescent="0.25">
      <c r="A33" s="14"/>
      <c r="B33" s="14"/>
      <c r="C33" s="14"/>
      <c r="D33" s="14"/>
      <c r="E33" s="14"/>
      <c r="F33" s="14"/>
    </row>
    <row r="34" spans="1:6" ht="15.75" x14ac:dyDescent="0.25">
      <c r="A34" s="14"/>
      <c r="B34" s="14"/>
      <c r="C34" s="14"/>
      <c r="D34" s="14"/>
      <c r="E34" s="14"/>
      <c r="F34" s="14"/>
    </row>
    <row r="35" spans="1:6" ht="15.75" x14ac:dyDescent="0.25">
      <c r="A35" s="14"/>
      <c r="B35" s="14"/>
      <c r="C35" s="14"/>
      <c r="D35" s="14"/>
      <c r="E35" s="14"/>
      <c r="F35" s="14"/>
    </row>
    <row r="36" spans="1:6" ht="15.75" x14ac:dyDescent="0.25">
      <c r="A36" s="14"/>
      <c r="B36" s="14"/>
      <c r="C36" s="14"/>
      <c r="D36" s="14"/>
      <c r="E36" s="14"/>
      <c r="F36" s="14"/>
    </row>
  </sheetData>
  <mergeCells count="2">
    <mergeCell ref="A1:F1"/>
    <mergeCell ref="A2:F2"/>
  </mergeCells>
  <phoneticPr fontId="5" type="noConversion"/>
  <pageMargins left="0.23622047244094491" right="0.15748031496062992" top="0.39370078740157483" bottom="0.74803149606299213" header="0.31496062992125984" footer="0.31496062992125984"/>
  <pageSetup paperSize="9" scale="90" orientation="portrait" r:id="rId1"/>
  <headerFooter alignWithMargins="0">
    <oddFooter>&amp;L&amp;"David,מודגש"&amp;12&amp;P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K43"/>
  <sheetViews>
    <sheetView showGridLines="0" rightToLeft="1" view="pageBreakPreview" zoomScale="60" zoomScaleNormal="100" workbookViewId="0">
      <selection activeCell="C16" sqref="C16"/>
    </sheetView>
  </sheetViews>
  <sheetFormatPr defaultColWidth="8" defaultRowHeight="15.75" x14ac:dyDescent="0.25"/>
  <cols>
    <col min="1" max="1" width="8" style="25" customWidth="1"/>
    <col min="2" max="2" width="15.85546875" style="25" customWidth="1"/>
    <col min="3" max="3" width="8.85546875" style="25" customWidth="1"/>
    <col min="4" max="4" width="8.5703125" style="25" customWidth="1"/>
    <col min="5" max="5" width="9.28515625" style="25" hidden="1" customWidth="1"/>
    <col min="6" max="7" width="9.7109375" style="25" customWidth="1"/>
    <col min="8" max="8" width="8.28515625" style="25" hidden="1" customWidth="1"/>
    <col min="9" max="9" width="9.7109375" style="25" customWidth="1"/>
    <col min="10" max="10" width="10.28515625" style="25" customWidth="1"/>
    <col min="11" max="11" width="19.140625" style="25" customWidth="1"/>
    <col min="12" max="16384" width="8" style="25"/>
  </cols>
  <sheetData>
    <row r="1" spans="1:11" x14ac:dyDescent="0.25">
      <c r="A1" s="536" t="s">
        <v>79</v>
      </c>
      <c r="B1" s="536"/>
      <c r="C1" s="536"/>
      <c r="D1" s="536"/>
      <c r="E1" s="536"/>
      <c r="F1" s="536"/>
      <c r="G1" s="536"/>
      <c r="H1" s="536"/>
      <c r="I1" s="536"/>
      <c r="J1" s="536"/>
      <c r="K1" s="536"/>
    </row>
    <row r="2" spans="1:11" ht="45" customHeight="1" x14ac:dyDescent="0.25">
      <c r="A2" s="537" t="str">
        <f>'נספח 1 - גרעון מצטבר'!A2:F2</f>
        <v>מועצה מקומית עוספייה</v>
      </c>
      <c r="B2" s="537"/>
      <c r="C2" s="537"/>
      <c r="D2" s="537"/>
      <c r="E2" s="537"/>
      <c r="F2" s="537"/>
      <c r="G2" s="537"/>
      <c r="H2" s="537"/>
      <c r="I2" s="537"/>
      <c r="J2" s="537"/>
      <c r="K2" s="537"/>
    </row>
    <row r="3" spans="1:11" s="151" customFormat="1" ht="63" customHeight="1" x14ac:dyDescent="0.2">
      <c r="A3" s="26"/>
      <c r="B3" s="27"/>
      <c r="C3" s="28" t="s">
        <v>999</v>
      </c>
      <c r="D3" s="28" t="s">
        <v>1000</v>
      </c>
      <c r="E3" s="28" t="s">
        <v>5</v>
      </c>
      <c r="F3" s="28" t="s">
        <v>81</v>
      </c>
      <c r="G3" s="28" t="s">
        <v>1001</v>
      </c>
      <c r="H3" s="28" t="s">
        <v>80</v>
      </c>
      <c r="I3" s="28" t="s">
        <v>82</v>
      </c>
      <c r="J3" s="28" t="s">
        <v>1002</v>
      </c>
      <c r="K3" s="28" t="s">
        <v>83</v>
      </c>
    </row>
    <row r="4" spans="1:11" x14ac:dyDescent="0.25">
      <c r="A4" s="538" t="s">
        <v>35</v>
      </c>
      <c r="B4" s="539"/>
      <c r="C4" s="539"/>
      <c r="D4" s="539"/>
      <c r="E4" s="539"/>
      <c r="F4" s="539"/>
      <c r="G4" s="539"/>
      <c r="H4" s="539"/>
      <c r="I4" s="539"/>
      <c r="J4" s="539"/>
      <c r="K4" s="540"/>
    </row>
    <row r="5" spans="1:11" x14ac:dyDescent="0.25">
      <c r="A5" s="541"/>
      <c r="B5" s="542"/>
      <c r="C5" s="542"/>
      <c r="D5" s="542"/>
      <c r="E5" s="542"/>
      <c r="F5" s="542"/>
      <c r="G5" s="542"/>
      <c r="H5" s="542"/>
      <c r="I5" s="542"/>
      <c r="J5" s="542"/>
      <c r="K5" s="543"/>
    </row>
    <row r="6" spans="1:11" ht="17.100000000000001" customHeight="1" x14ac:dyDescent="0.25">
      <c r="A6" s="535" t="s">
        <v>84</v>
      </c>
      <c r="B6" s="535"/>
      <c r="C6" s="124"/>
      <c r="D6" s="124"/>
      <c r="E6" s="124"/>
      <c r="F6" s="124"/>
      <c r="G6" s="124"/>
      <c r="H6" s="124"/>
      <c r="I6" s="124"/>
      <c r="J6" s="124"/>
      <c r="K6" s="126"/>
    </row>
    <row r="7" spans="1:11" ht="17.100000000000001" customHeight="1" x14ac:dyDescent="0.25">
      <c r="A7" s="535" t="s">
        <v>85</v>
      </c>
      <c r="B7" s="535"/>
      <c r="C7" s="124">
        <v>2257</v>
      </c>
      <c r="D7" s="124">
        <v>2179</v>
      </c>
      <c r="E7" s="124">
        <f>'טבלה 1 - התקציב הרגיל'!E38</f>
        <v>2257</v>
      </c>
      <c r="F7" s="124">
        <f>'טבלה 1 - התקציב הרגיל'!G38</f>
        <v>2257</v>
      </c>
      <c r="G7" s="124">
        <f>'טבלה 1 - התקציב הרגיל'!H38</f>
        <v>2043</v>
      </c>
      <c r="H7" s="124">
        <f>'טבלה 1 - התקציב הרגיל'!I38</f>
        <v>0</v>
      </c>
      <c r="I7" s="124">
        <f>'טבלה 1 - התקציב הרגיל'!K38</f>
        <v>2043</v>
      </c>
      <c r="J7" s="124">
        <f>'טבלה 1 - התקציב הרגיל'!M38</f>
        <v>0</v>
      </c>
      <c r="K7" s="124" t="s">
        <v>304</v>
      </c>
    </row>
    <row r="8" spans="1:11" ht="17.100000000000001" customHeight="1" x14ac:dyDescent="0.25">
      <c r="A8" s="535" t="s">
        <v>86</v>
      </c>
      <c r="B8" s="535"/>
      <c r="C8" s="124"/>
      <c r="D8" s="124"/>
      <c r="E8" s="124"/>
      <c r="F8" s="124"/>
      <c r="G8" s="124"/>
      <c r="H8" s="124"/>
      <c r="I8" s="124"/>
      <c r="J8" s="124"/>
      <c r="K8" s="126"/>
    </row>
    <row r="9" spans="1:11" ht="17.100000000000001" customHeight="1" x14ac:dyDescent="0.25">
      <c r="A9" s="535" t="s">
        <v>87</v>
      </c>
      <c r="B9" s="535"/>
      <c r="C9" s="124"/>
      <c r="D9" s="124"/>
      <c r="E9" s="124"/>
      <c r="F9" s="124"/>
      <c r="G9" s="124"/>
      <c r="H9" s="124"/>
      <c r="I9" s="124"/>
      <c r="J9" s="124"/>
      <c r="K9" s="126"/>
    </row>
    <row r="10" spans="1:11" ht="17.100000000000001" customHeight="1" x14ac:dyDescent="0.25">
      <c r="A10" s="535" t="s">
        <v>88</v>
      </c>
      <c r="B10" s="535"/>
      <c r="C10" s="124"/>
      <c r="D10" s="124"/>
      <c r="E10" s="124"/>
      <c r="F10" s="124"/>
      <c r="G10" s="124"/>
      <c r="H10" s="124"/>
      <c r="I10" s="124"/>
      <c r="J10" s="124"/>
      <c r="K10" s="126"/>
    </row>
    <row r="11" spans="1:11" ht="17.100000000000001" customHeight="1" x14ac:dyDescent="0.25">
      <c r="A11" s="535" t="s">
        <v>89</v>
      </c>
      <c r="B11" s="535"/>
      <c r="C11" s="127"/>
      <c r="D11" s="127"/>
      <c r="E11" s="127"/>
      <c r="F11" s="127"/>
      <c r="G11" s="127"/>
      <c r="H11" s="124"/>
      <c r="I11" s="124"/>
      <c r="J11" s="124"/>
      <c r="K11" s="126"/>
    </row>
    <row r="12" spans="1:11" ht="17.100000000000001" customHeight="1" x14ac:dyDescent="0.25">
      <c r="A12" s="535" t="s">
        <v>90</v>
      </c>
      <c r="B12" s="535"/>
      <c r="C12" s="127">
        <v>2202</v>
      </c>
      <c r="D12" s="127">
        <v>9022</v>
      </c>
      <c r="E12" s="127">
        <f>'טבלה 1 - התקציב הרגיל'!E39</f>
        <v>2202</v>
      </c>
      <c r="F12" s="127">
        <f>'טבלה 1 - התקציב הרגיל'!G39</f>
        <v>2202</v>
      </c>
      <c r="G12" s="127">
        <f>'טבלה 1 - התקציב הרגיל'!H39</f>
        <v>1349</v>
      </c>
      <c r="H12" s="127">
        <f>'טבלה 1 - התקציב הרגיל'!I39</f>
        <v>677</v>
      </c>
      <c r="I12" s="127">
        <f>'טבלה 1 - התקציב הרגיל'!K39</f>
        <v>2026</v>
      </c>
      <c r="J12" s="127">
        <f>'טבלה 1 - התקציב הרגיל'!M39</f>
        <v>4542</v>
      </c>
      <c r="K12" s="330" t="s">
        <v>305</v>
      </c>
    </row>
    <row r="13" spans="1:11" ht="17.100000000000001" customHeight="1" x14ac:dyDescent="0.25">
      <c r="A13" s="550" t="s">
        <v>91</v>
      </c>
      <c r="B13" s="551"/>
      <c r="C13" s="125">
        <f t="shared" ref="C13" si="0">SUM(C6:C12)</f>
        <v>4459</v>
      </c>
      <c r="D13" s="125">
        <f>SUM(D6:D12)</f>
        <v>11201</v>
      </c>
      <c r="E13" s="125">
        <f t="shared" ref="E13:J13" si="1">SUM(E6:E12)</f>
        <v>4459</v>
      </c>
      <c r="F13" s="125">
        <f t="shared" si="1"/>
        <v>4459</v>
      </c>
      <c r="G13" s="125">
        <f>SUM(G6:G12)</f>
        <v>3392</v>
      </c>
      <c r="H13" s="125">
        <f t="shared" si="1"/>
        <v>677</v>
      </c>
      <c r="I13" s="125">
        <f>SUM(I6:I12)</f>
        <v>4069</v>
      </c>
      <c r="J13" s="125">
        <f t="shared" si="1"/>
        <v>4542</v>
      </c>
      <c r="K13" s="125"/>
    </row>
    <row r="14" spans="1:11" ht="17.100000000000001" customHeight="1" x14ac:dyDescent="0.25">
      <c r="A14" s="535" t="s">
        <v>92</v>
      </c>
      <c r="B14" s="535"/>
      <c r="C14" s="124">
        <v>1495</v>
      </c>
      <c r="D14" s="124">
        <v>3142</v>
      </c>
      <c r="E14" s="124">
        <f>'נספח 3 - ריכוז תשלומים ותקבולים'!N18</f>
        <v>1495</v>
      </c>
      <c r="F14" s="124">
        <v>1495</v>
      </c>
      <c r="G14" s="124">
        <v>3031</v>
      </c>
      <c r="H14" s="124"/>
      <c r="I14" s="124">
        <v>2294</v>
      </c>
      <c r="J14" s="124">
        <v>2258</v>
      </c>
      <c r="K14" s="126"/>
    </row>
    <row r="15" spans="1:11" ht="17.100000000000001" customHeight="1" x14ac:dyDescent="0.25">
      <c r="A15" s="535" t="s">
        <v>93</v>
      </c>
      <c r="B15" s="535"/>
      <c r="C15" s="124">
        <v>8733</v>
      </c>
      <c r="D15" s="124">
        <v>11185</v>
      </c>
      <c r="E15" s="124">
        <f>'נספח 3 - ריכוז תשלומים ותקבולים'!N37</f>
        <v>8733</v>
      </c>
      <c r="F15" s="124">
        <v>8733</v>
      </c>
      <c r="G15" s="124">
        <v>7098</v>
      </c>
      <c r="H15" s="124"/>
      <c r="I15" s="124">
        <v>6730</v>
      </c>
      <c r="J15" s="124">
        <v>0</v>
      </c>
      <c r="K15" s="107" t="s">
        <v>978</v>
      </c>
    </row>
    <row r="16" spans="1:11" ht="17.100000000000001" customHeight="1" x14ac:dyDescent="0.25">
      <c r="A16" s="535" t="s">
        <v>94</v>
      </c>
      <c r="B16" s="535"/>
      <c r="C16" s="124">
        <v>2989</v>
      </c>
      <c r="D16" s="124">
        <v>2565</v>
      </c>
      <c r="E16" s="124">
        <f>'נספח 3 - ריכוז תשלומים ותקבולים'!N40</f>
        <v>2989</v>
      </c>
      <c r="F16" s="124">
        <v>2989</v>
      </c>
      <c r="G16" s="124">
        <v>2528</v>
      </c>
      <c r="H16" s="124"/>
      <c r="I16" s="124">
        <v>2278</v>
      </c>
      <c r="J16" s="124">
        <v>0</v>
      </c>
      <c r="K16" s="126"/>
    </row>
    <row r="17" spans="1:11" ht="15.75" customHeight="1" x14ac:dyDescent="0.25">
      <c r="A17" s="544" t="s">
        <v>13</v>
      </c>
      <c r="B17" s="545"/>
      <c r="C17" s="545"/>
      <c r="D17" s="545"/>
      <c r="E17" s="545"/>
      <c r="F17" s="545"/>
      <c r="G17" s="545"/>
      <c r="H17" s="545"/>
      <c r="I17" s="545"/>
      <c r="J17" s="545"/>
      <c r="K17" s="546"/>
    </row>
    <row r="18" spans="1:11" x14ac:dyDescent="0.25">
      <c r="A18" s="547"/>
      <c r="B18" s="548"/>
      <c r="C18" s="548"/>
      <c r="D18" s="548"/>
      <c r="E18" s="548"/>
      <c r="F18" s="548"/>
      <c r="G18" s="548"/>
      <c r="H18" s="548"/>
      <c r="I18" s="548"/>
      <c r="J18" s="548"/>
      <c r="K18" s="549"/>
    </row>
    <row r="19" spans="1:11" ht="17.100000000000001" customHeight="1" x14ac:dyDescent="0.25">
      <c r="A19" s="535" t="s">
        <v>95</v>
      </c>
      <c r="B19" s="535"/>
      <c r="C19" s="109">
        <v>172</v>
      </c>
      <c r="D19" s="109">
        <v>1235</v>
      </c>
      <c r="E19" s="109">
        <v>780</v>
      </c>
      <c r="F19" s="109">
        <v>172</v>
      </c>
      <c r="G19" s="109">
        <v>506</v>
      </c>
      <c r="H19" s="109"/>
      <c r="I19" s="109">
        <v>800</v>
      </c>
      <c r="J19" s="109">
        <v>800</v>
      </c>
      <c r="K19" s="111"/>
    </row>
    <row r="20" spans="1:11" ht="17.100000000000001" customHeight="1" x14ac:dyDescent="0.25">
      <c r="A20" s="535" t="s">
        <v>96</v>
      </c>
      <c r="B20" s="535"/>
      <c r="C20" s="109">
        <v>0</v>
      </c>
      <c r="D20" s="109">
        <v>0</v>
      </c>
      <c r="E20" s="109"/>
      <c r="F20" s="109">
        <v>0</v>
      </c>
      <c r="G20" s="109">
        <v>866</v>
      </c>
      <c r="H20" s="110"/>
      <c r="I20" s="109">
        <v>866</v>
      </c>
      <c r="J20" s="109">
        <v>866</v>
      </c>
      <c r="K20" s="111"/>
    </row>
    <row r="21" spans="1:11" ht="17.100000000000001" customHeight="1" x14ac:dyDescent="0.25">
      <c r="A21" s="535" t="s">
        <v>97</v>
      </c>
      <c r="B21" s="535"/>
      <c r="C21" s="109"/>
      <c r="D21" s="109"/>
      <c r="E21" s="109"/>
      <c r="F21" s="109"/>
      <c r="G21" s="109"/>
      <c r="H21" s="110"/>
      <c r="I21" s="110"/>
      <c r="J21" s="153"/>
      <c r="K21" s="111"/>
    </row>
    <row r="22" spans="1:11" ht="17.100000000000001" customHeight="1" x14ac:dyDescent="0.25">
      <c r="A22" s="535" t="s">
        <v>98</v>
      </c>
      <c r="B22" s="535"/>
      <c r="C22" s="109"/>
      <c r="D22" s="109"/>
      <c r="E22" s="109">
        <v>97</v>
      </c>
      <c r="F22" s="109"/>
      <c r="G22" s="109"/>
      <c r="H22" s="110"/>
      <c r="I22" s="109"/>
      <c r="J22" s="109"/>
      <c r="K22" s="111"/>
    </row>
    <row r="23" spans="1:11" ht="17.100000000000001" customHeight="1" x14ac:dyDescent="0.25">
      <c r="A23" s="535" t="s">
        <v>99</v>
      </c>
      <c r="B23" s="535"/>
      <c r="C23" s="109"/>
      <c r="D23" s="109"/>
      <c r="E23" s="109"/>
      <c r="F23" s="109"/>
      <c r="G23" s="109"/>
      <c r="H23" s="110"/>
      <c r="I23" s="109"/>
      <c r="J23" s="153"/>
      <c r="K23" s="111"/>
    </row>
    <row r="24" spans="1:11" ht="17.100000000000001" customHeight="1" x14ac:dyDescent="0.25">
      <c r="A24" s="535" t="s">
        <v>100</v>
      </c>
      <c r="B24" s="535"/>
      <c r="C24" s="109"/>
      <c r="D24" s="109"/>
      <c r="E24" s="109"/>
      <c r="F24" s="109"/>
      <c r="G24" s="109"/>
      <c r="H24" s="110"/>
      <c r="I24" s="110"/>
      <c r="J24" s="153"/>
      <c r="K24" s="111"/>
    </row>
    <row r="25" spans="1:11" ht="17.100000000000001" customHeight="1" x14ac:dyDescent="0.25">
      <c r="A25" s="535" t="s">
        <v>101</v>
      </c>
      <c r="B25" s="535"/>
      <c r="C25" s="112"/>
      <c r="D25" s="112"/>
      <c r="E25" s="112"/>
      <c r="F25" s="107"/>
      <c r="G25" s="107"/>
      <c r="H25" s="107"/>
      <c r="I25" s="107"/>
      <c r="J25" s="154"/>
      <c r="K25" s="108"/>
    </row>
    <row r="26" spans="1:11" ht="17.100000000000001" customHeight="1" x14ac:dyDescent="0.25">
      <c r="A26" s="535" t="s">
        <v>102</v>
      </c>
      <c r="B26" s="535"/>
      <c r="C26" s="109">
        <v>265</v>
      </c>
      <c r="D26" s="109">
        <v>211</v>
      </c>
      <c r="E26" s="109">
        <v>145</v>
      </c>
      <c r="F26" s="109">
        <v>265</v>
      </c>
      <c r="G26" s="109">
        <v>210</v>
      </c>
      <c r="H26" s="109"/>
      <c r="I26" s="109">
        <v>15</v>
      </c>
      <c r="J26" s="109">
        <v>0</v>
      </c>
      <c r="K26" s="111"/>
    </row>
    <row r="27" spans="1:11" ht="17.100000000000001" customHeight="1" x14ac:dyDescent="0.25">
      <c r="A27" s="535" t="s">
        <v>103</v>
      </c>
      <c r="B27" s="535"/>
      <c r="C27" s="109">
        <v>4955</v>
      </c>
      <c r="D27" s="109">
        <v>5034</v>
      </c>
      <c r="E27" s="109">
        <f>2592+1250</f>
        <v>3842</v>
      </c>
      <c r="F27" s="124">
        <v>4955</v>
      </c>
      <c r="G27" s="124">
        <v>5223</v>
      </c>
      <c r="H27" s="124"/>
      <c r="I27" s="124">
        <v>5223</v>
      </c>
      <c r="J27" s="124">
        <v>1490</v>
      </c>
      <c r="K27" s="108"/>
    </row>
    <row r="29" spans="1:11" ht="14.25" customHeight="1" x14ac:dyDescent="0.25"/>
    <row r="30" spans="1:11" hidden="1" x14ac:dyDescent="0.25"/>
    <row r="31" spans="1:11" hidden="1" x14ac:dyDescent="0.25"/>
    <row r="32" spans="1:11" ht="16.5" hidden="1" customHeight="1" x14ac:dyDescent="0.25"/>
    <row r="33" spans="1:6" hidden="1" x14ac:dyDescent="0.25"/>
    <row r="35" spans="1:6" x14ac:dyDescent="0.25">
      <c r="A35" s="29"/>
      <c r="B35" s="29"/>
      <c r="C35" s="29"/>
    </row>
    <row r="36" spans="1:6" s="372" customFormat="1" x14ac:dyDescent="0.25">
      <c r="A36" s="29"/>
      <c r="B36" s="29"/>
      <c r="C36" s="29"/>
      <c r="D36" s="49"/>
      <c r="E36" s="49"/>
    </row>
    <row r="37" spans="1:6" s="372" customFormat="1" x14ac:dyDescent="0.25">
      <c r="B37" s="30" t="s">
        <v>78</v>
      </c>
      <c r="C37" s="29"/>
      <c r="D37" s="49"/>
      <c r="E37" s="49"/>
      <c r="F37" s="30" t="s">
        <v>78</v>
      </c>
    </row>
    <row r="38" spans="1:6" s="372" customFormat="1" x14ac:dyDescent="0.25">
      <c r="B38" s="30" t="s">
        <v>60</v>
      </c>
      <c r="C38" s="29"/>
      <c r="D38" s="49"/>
      <c r="E38" s="49"/>
      <c r="F38" s="30" t="s">
        <v>61</v>
      </c>
    </row>
    <row r="39" spans="1:6" s="372" customFormat="1" x14ac:dyDescent="0.25">
      <c r="B39" s="30"/>
      <c r="C39" s="29"/>
      <c r="D39" s="49"/>
      <c r="E39" s="49"/>
      <c r="F39" s="30"/>
    </row>
    <row r="40" spans="1:6" s="372" customFormat="1" x14ac:dyDescent="0.25">
      <c r="B40" s="30"/>
      <c r="C40" s="29"/>
      <c r="D40" s="49"/>
      <c r="E40" s="49"/>
      <c r="F40" s="29"/>
    </row>
    <row r="41" spans="1:6" s="372" customFormat="1" x14ac:dyDescent="0.25">
      <c r="B41" s="30"/>
      <c r="C41" s="29"/>
      <c r="D41" s="49"/>
      <c r="E41" s="49"/>
      <c r="F41" s="29"/>
    </row>
    <row r="42" spans="1:6" s="372" customFormat="1" x14ac:dyDescent="0.25">
      <c r="B42" s="30" t="s">
        <v>78</v>
      </c>
      <c r="C42" s="29"/>
      <c r="D42" s="49"/>
      <c r="E42" s="49"/>
      <c r="F42" s="30" t="s">
        <v>78</v>
      </c>
    </row>
    <row r="43" spans="1:6" s="372" customFormat="1" x14ac:dyDescent="0.25">
      <c r="B43" s="30" t="s">
        <v>63</v>
      </c>
      <c r="C43" s="29"/>
      <c r="D43" s="49"/>
      <c r="E43" s="49"/>
      <c r="F43" s="30" t="s">
        <v>62</v>
      </c>
    </row>
  </sheetData>
  <mergeCells count="24">
    <mergeCell ref="A20:B20"/>
    <mergeCell ref="A21:B21"/>
    <mergeCell ref="A22:B22"/>
    <mergeCell ref="A27:B27"/>
    <mergeCell ref="A23:B23"/>
    <mergeCell ref="A24:B24"/>
    <mergeCell ref="A25:B25"/>
    <mergeCell ref="A26:B26"/>
    <mergeCell ref="A19:B19"/>
    <mergeCell ref="A17:K18"/>
    <mergeCell ref="A13:B13"/>
    <mergeCell ref="A14:B14"/>
    <mergeCell ref="A15:B15"/>
    <mergeCell ref="A16:B16"/>
    <mergeCell ref="A9:B9"/>
    <mergeCell ref="A10:B10"/>
    <mergeCell ref="A11:B11"/>
    <mergeCell ref="A12:B12"/>
    <mergeCell ref="A1:K1"/>
    <mergeCell ref="A2:K2"/>
    <mergeCell ref="A6:B6"/>
    <mergeCell ref="A7:B7"/>
    <mergeCell ref="A8:B8"/>
    <mergeCell ref="A4:K5"/>
  </mergeCells>
  <phoneticPr fontId="0" type="noConversion"/>
  <pageMargins left="0.23622047244094491" right="0.15748031496062992" top="0.39370078740157483" bottom="0.74803149606299213" header="0.31496062992125984" footer="0.31496062992125984"/>
  <pageSetup paperSize="9" scale="90" orientation="portrait" r:id="rId1"/>
  <headerFooter alignWithMargins="0">
    <oddFooter>&amp;L&amp;"David,מודגש"&amp;12&amp;P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AT58"/>
  <sheetViews>
    <sheetView showGridLines="0" rightToLeft="1" view="pageBreakPreview" zoomScale="60" zoomScaleNormal="100" workbookViewId="0">
      <selection activeCell="E40" sqref="E40"/>
    </sheetView>
  </sheetViews>
  <sheetFormatPr defaultRowHeight="15" x14ac:dyDescent="0.25"/>
  <cols>
    <col min="1" max="1" width="6.7109375" style="32" customWidth="1"/>
    <col min="2" max="2" width="17.85546875" style="32" customWidth="1"/>
    <col min="3" max="3" width="6.85546875" style="32" customWidth="1"/>
    <col min="4" max="5" width="7" style="32" customWidth="1"/>
    <col min="6" max="8" width="7" style="32" hidden="1" customWidth="1"/>
    <col min="9" max="9" width="7" style="381" customWidth="1"/>
    <col min="10" max="10" width="7.5703125" style="381" bestFit="1" customWidth="1"/>
    <col min="11" max="11" width="7.5703125" style="381" customWidth="1"/>
    <col min="12" max="12" width="7" style="32" customWidth="1"/>
    <col min="13" max="13" width="7.7109375" style="32" bestFit="1" customWidth="1"/>
    <col min="14" max="14" width="10.85546875" style="32" customWidth="1"/>
    <col min="15" max="15" width="7" style="32" customWidth="1"/>
    <col min="16" max="16" width="7.7109375" style="32" bestFit="1" customWidth="1"/>
    <col min="17" max="17" width="12.42578125" style="32" customWidth="1"/>
    <col min="18" max="18" width="6.5703125" style="32" bestFit="1" customWidth="1"/>
    <col min="19" max="19" width="7.5703125" style="32" bestFit="1" customWidth="1"/>
    <col min="20" max="20" width="14.140625" style="32" customWidth="1"/>
    <col min="21" max="21" width="13.42578125" style="32" bestFit="1" customWidth="1"/>
    <col min="22" max="22" width="18" style="32" customWidth="1"/>
    <col min="23" max="24" width="7.28515625" style="32" hidden="1" customWidth="1"/>
    <col min="25" max="25" width="6.7109375" style="32" hidden="1" customWidth="1"/>
    <col min="26" max="26" width="7.5703125" style="32" customWidth="1"/>
    <col min="27" max="27" width="7.85546875" style="32" customWidth="1"/>
    <col min="28" max="28" width="7.42578125" style="32" customWidth="1"/>
    <col min="29" max="31" width="7.42578125" style="32" hidden="1" customWidth="1"/>
    <col min="32" max="36" width="7.42578125" style="32" customWidth="1"/>
    <col min="37" max="37" width="11" style="32" customWidth="1"/>
    <col min="38" max="39" width="7.42578125" style="32" customWidth="1"/>
    <col min="40" max="40" width="11.7109375" style="32" customWidth="1"/>
    <col min="41" max="41" width="7" style="32" customWidth="1"/>
    <col min="42" max="42" width="7.140625" style="32" customWidth="1"/>
    <col min="43" max="43" width="11.7109375" style="32" customWidth="1"/>
    <col min="44" max="16384" width="9.140625" style="32"/>
  </cols>
  <sheetData>
    <row r="1" spans="1:43" ht="15.75" customHeight="1" thickBot="1" x14ac:dyDescent="0.3">
      <c r="A1" s="536" t="s">
        <v>104</v>
      </c>
      <c r="B1" s="536"/>
      <c r="C1" s="536"/>
      <c r="D1" s="536"/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  <c r="Q1" s="536"/>
      <c r="R1" s="536"/>
      <c r="S1" s="536"/>
      <c r="T1" s="536"/>
      <c r="U1" s="129"/>
      <c r="V1" s="536" t="s">
        <v>104</v>
      </c>
      <c r="W1" s="536"/>
      <c r="X1" s="536"/>
      <c r="Y1" s="536"/>
      <c r="Z1" s="536"/>
      <c r="AA1" s="536"/>
      <c r="AB1" s="536"/>
      <c r="AC1" s="536"/>
      <c r="AD1" s="536"/>
      <c r="AE1" s="536"/>
      <c r="AF1" s="536"/>
      <c r="AG1" s="536"/>
      <c r="AH1" s="536"/>
      <c r="AI1" s="536"/>
      <c r="AJ1" s="536"/>
      <c r="AK1" s="536"/>
      <c r="AL1" s="536"/>
      <c r="AM1" s="536"/>
      <c r="AN1" s="536"/>
      <c r="AO1" s="536"/>
      <c r="AP1" s="536"/>
      <c r="AQ1" s="536"/>
    </row>
    <row r="2" spans="1:43" x14ac:dyDescent="0.25">
      <c r="A2" s="553" t="s">
        <v>105</v>
      </c>
      <c r="B2" s="554"/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  <c r="O2" s="554"/>
      <c r="P2" s="554"/>
      <c r="Q2" s="554"/>
      <c r="R2" s="554"/>
      <c r="S2" s="554"/>
      <c r="T2" s="555"/>
      <c r="U2" s="553" t="s">
        <v>106</v>
      </c>
      <c r="V2" s="554"/>
      <c r="W2" s="554"/>
      <c r="X2" s="554"/>
      <c r="Y2" s="554"/>
      <c r="Z2" s="554"/>
      <c r="AA2" s="554"/>
      <c r="AB2" s="554"/>
      <c r="AC2" s="554"/>
      <c r="AD2" s="554"/>
      <c r="AE2" s="554"/>
      <c r="AF2" s="554"/>
      <c r="AG2" s="554"/>
      <c r="AH2" s="554"/>
      <c r="AI2" s="554"/>
      <c r="AJ2" s="554"/>
      <c r="AK2" s="554"/>
      <c r="AL2" s="554"/>
      <c r="AM2" s="554"/>
      <c r="AN2" s="554"/>
      <c r="AO2" s="554"/>
      <c r="AP2" s="554"/>
      <c r="AQ2" s="555"/>
    </row>
    <row r="3" spans="1:43" x14ac:dyDescent="0.25">
      <c r="A3" s="38"/>
      <c r="B3" s="37"/>
      <c r="C3" s="552" t="s">
        <v>1003</v>
      </c>
      <c r="D3" s="552"/>
      <c r="E3" s="552"/>
      <c r="F3" s="552" t="s">
        <v>301</v>
      </c>
      <c r="G3" s="552"/>
      <c r="H3" s="552"/>
      <c r="I3" s="556" t="s">
        <v>1004</v>
      </c>
      <c r="J3" s="556"/>
      <c r="K3" s="556"/>
      <c r="L3" s="552" t="s">
        <v>109</v>
      </c>
      <c r="M3" s="552"/>
      <c r="N3" s="552"/>
      <c r="O3" s="552" t="s">
        <v>110</v>
      </c>
      <c r="P3" s="552"/>
      <c r="Q3" s="552"/>
      <c r="R3" s="552" t="s">
        <v>1005</v>
      </c>
      <c r="S3" s="552"/>
      <c r="T3" s="557"/>
      <c r="U3" s="39"/>
      <c r="V3" s="326"/>
      <c r="W3" s="552" t="s">
        <v>107</v>
      </c>
      <c r="X3" s="552"/>
      <c r="Y3" s="552"/>
      <c r="Z3" s="552" t="s">
        <v>1003</v>
      </c>
      <c r="AA3" s="552"/>
      <c r="AB3" s="552"/>
      <c r="AC3" s="552" t="s">
        <v>302</v>
      </c>
      <c r="AD3" s="552"/>
      <c r="AE3" s="552"/>
      <c r="AF3" s="552" t="s">
        <v>1004</v>
      </c>
      <c r="AG3" s="552"/>
      <c r="AH3" s="552"/>
      <c r="AI3" s="552" t="s">
        <v>109</v>
      </c>
      <c r="AJ3" s="552"/>
      <c r="AK3" s="552"/>
      <c r="AL3" s="552" t="s">
        <v>110</v>
      </c>
      <c r="AM3" s="552"/>
      <c r="AN3" s="552"/>
      <c r="AO3" s="552" t="s">
        <v>1005</v>
      </c>
      <c r="AP3" s="552"/>
      <c r="AQ3" s="557"/>
    </row>
    <row r="4" spans="1:43" s="43" customFormat="1" ht="31.5" customHeight="1" x14ac:dyDescent="0.2">
      <c r="A4" s="40" t="s">
        <v>112</v>
      </c>
      <c r="B4" s="41" t="s">
        <v>113</v>
      </c>
      <c r="C4" s="41" t="s">
        <v>114</v>
      </c>
      <c r="D4" s="41" t="s">
        <v>115</v>
      </c>
      <c r="E4" s="41" t="s">
        <v>116</v>
      </c>
      <c r="F4" s="41" t="s">
        <v>114</v>
      </c>
      <c r="G4" s="41" t="s">
        <v>115</v>
      </c>
      <c r="H4" s="41" t="s">
        <v>116</v>
      </c>
      <c r="I4" s="373" t="s">
        <v>114</v>
      </c>
      <c r="J4" s="373" t="s">
        <v>115</v>
      </c>
      <c r="K4" s="373" t="s">
        <v>116</v>
      </c>
      <c r="L4" s="41" t="s">
        <v>114</v>
      </c>
      <c r="M4" s="41" t="s">
        <v>115</v>
      </c>
      <c r="N4" s="41" t="s">
        <v>116</v>
      </c>
      <c r="O4" s="41" t="s">
        <v>114</v>
      </c>
      <c r="P4" s="41" t="s">
        <v>115</v>
      </c>
      <c r="Q4" s="41" t="s">
        <v>116</v>
      </c>
      <c r="R4" s="41" t="s">
        <v>114</v>
      </c>
      <c r="S4" s="41" t="s">
        <v>115</v>
      </c>
      <c r="T4" s="42" t="s">
        <v>116</v>
      </c>
      <c r="U4" s="40" t="s">
        <v>112</v>
      </c>
      <c r="V4" s="41" t="s">
        <v>113</v>
      </c>
      <c r="W4" s="41" t="s">
        <v>117</v>
      </c>
      <c r="X4" s="41" t="s">
        <v>118</v>
      </c>
      <c r="Y4" s="41" t="s">
        <v>116</v>
      </c>
      <c r="Z4" s="41" t="s">
        <v>117</v>
      </c>
      <c r="AA4" s="41" t="s">
        <v>118</v>
      </c>
      <c r="AB4" s="41" t="s">
        <v>116</v>
      </c>
      <c r="AC4" s="41" t="s">
        <v>117</v>
      </c>
      <c r="AD4" s="41" t="s">
        <v>118</v>
      </c>
      <c r="AE4" s="41" t="s">
        <v>116</v>
      </c>
      <c r="AF4" s="41" t="s">
        <v>117</v>
      </c>
      <c r="AG4" s="41" t="s">
        <v>118</v>
      </c>
      <c r="AH4" s="41" t="s">
        <v>116</v>
      </c>
      <c r="AI4" s="41" t="s">
        <v>117</v>
      </c>
      <c r="AJ4" s="41" t="s">
        <v>118</v>
      </c>
      <c r="AK4" s="41" t="s">
        <v>116</v>
      </c>
      <c r="AL4" s="41" t="s">
        <v>117</v>
      </c>
      <c r="AM4" s="41" t="s">
        <v>118</v>
      </c>
      <c r="AN4" s="41" t="s">
        <v>116</v>
      </c>
      <c r="AO4" s="41" t="s">
        <v>117</v>
      </c>
      <c r="AP4" s="41" t="s">
        <v>118</v>
      </c>
      <c r="AQ4" s="42" t="s">
        <v>116</v>
      </c>
    </row>
    <row r="5" spans="1:43" x14ac:dyDescent="0.25">
      <c r="A5" s="35"/>
      <c r="B5" s="36"/>
      <c r="C5" s="36"/>
      <c r="D5" s="36"/>
      <c r="E5" s="34"/>
      <c r="F5" s="34"/>
      <c r="G5" s="34"/>
      <c r="H5" s="34"/>
      <c r="I5" s="374"/>
      <c r="J5" s="374"/>
      <c r="K5" s="374"/>
      <c r="L5" s="34"/>
      <c r="M5" s="34"/>
      <c r="N5" s="34"/>
      <c r="O5" s="34"/>
      <c r="P5" s="34"/>
      <c r="Q5" s="34"/>
      <c r="R5" s="36"/>
      <c r="S5" s="36"/>
      <c r="T5" s="33"/>
      <c r="U5" s="35"/>
      <c r="V5" s="36"/>
      <c r="W5" s="36"/>
      <c r="X5" s="36"/>
      <c r="Y5" s="34"/>
      <c r="Z5" s="36"/>
      <c r="AA5" s="36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6"/>
      <c r="AP5" s="36"/>
      <c r="AQ5" s="33"/>
    </row>
    <row r="6" spans="1:43" x14ac:dyDescent="0.25">
      <c r="A6" s="46">
        <v>6</v>
      </c>
      <c r="B6" s="558" t="s">
        <v>119</v>
      </c>
      <c r="C6" s="558"/>
      <c r="D6" s="558"/>
      <c r="E6" s="558"/>
      <c r="F6" s="558"/>
      <c r="G6" s="558"/>
      <c r="H6" s="558"/>
      <c r="I6" s="558"/>
      <c r="J6" s="558"/>
      <c r="K6" s="558"/>
      <c r="L6" s="558"/>
      <c r="M6" s="558"/>
      <c r="N6" s="558"/>
      <c r="O6" s="558"/>
      <c r="P6" s="558"/>
      <c r="Q6" s="558"/>
      <c r="R6" s="558"/>
      <c r="S6" s="558"/>
      <c r="T6" s="559"/>
      <c r="U6" s="46">
        <v>1</v>
      </c>
      <c r="V6" s="558" t="s">
        <v>120</v>
      </c>
      <c r="W6" s="558"/>
      <c r="X6" s="558"/>
      <c r="Y6" s="558"/>
      <c r="Z6" s="558"/>
      <c r="AA6" s="558"/>
      <c r="AB6" s="558"/>
      <c r="AC6" s="558"/>
      <c r="AD6" s="558"/>
      <c r="AE6" s="558"/>
      <c r="AF6" s="558"/>
      <c r="AG6" s="558"/>
      <c r="AH6" s="558"/>
      <c r="AI6" s="558"/>
      <c r="AJ6" s="558"/>
      <c r="AK6" s="558"/>
      <c r="AL6" s="558"/>
      <c r="AM6" s="558"/>
      <c r="AN6" s="558"/>
      <c r="AO6" s="558"/>
      <c r="AP6" s="558"/>
      <c r="AQ6" s="559"/>
    </row>
    <row r="7" spans="1:43" x14ac:dyDescent="0.25">
      <c r="A7" s="35"/>
      <c r="B7" s="36" t="s">
        <v>121</v>
      </c>
      <c r="C7" s="95">
        <v>758</v>
      </c>
      <c r="D7" s="560">
        <f>4152-758-838</f>
        <v>2556</v>
      </c>
      <c r="E7" s="560">
        <v>4152</v>
      </c>
      <c r="F7" s="140">
        <f>379</f>
        <v>379</v>
      </c>
      <c r="G7" s="561">
        <f>H7-F8-F7</f>
        <v>785</v>
      </c>
      <c r="H7" s="561">
        <v>1939</v>
      </c>
      <c r="I7" s="382">
        <v>735</v>
      </c>
      <c r="J7" s="565">
        <f>K7-I7-I8</f>
        <v>1303</v>
      </c>
      <c r="K7" s="565">
        <v>3624</v>
      </c>
      <c r="L7" s="327">
        <v>770</v>
      </c>
      <c r="M7" s="561">
        <f>N7-L8-L7</f>
        <v>1146</v>
      </c>
      <c r="N7" s="561">
        <v>3596</v>
      </c>
      <c r="O7" s="327">
        <v>743</v>
      </c>
      <c r="P7" s="568">
        <f>Q7-O7-O8</f>
        <v>2062</v>
      </c>
      <c r="Q7" s="561">
        <v>4513</v>
      </c>
      <c r="R7" s="95">
        <v>757</v>
      </c>
      <c r="S7" s="568">
        <f>T7-R8-R7</f>
        <v>1563</v>
      </c>
      <c r="T7" s="563">
        <v>4140</v>
      </c>
      <c r="U7" s="35">
        <v>11</v>
      </c>
      <c r="V7" s="36" t="s">
        <v>122</v>
      </c>
      <c r="W7" s="95">
        <v>0</v>
      </c>
      <c r="X7" s="95">
        <f>Y7</f>
        <v>12626</v>
      </c>
      <c r="Y7" s="95">
        <v>12626</v>
      </c>
      <c r="Z7" s="95"/>
      <c r="AA7" s="95">
        <v>14527</v>
      </c>
      <c r="AB7" s="95">
        <v>14527</v>
      </c>
      <c r="AC7" s="95"/>
      <c r="AD7" s="95"/>
      <c r="AE7" s="95">
        <v>6990</v>
      </c>
      <c r="AF7" s="95"/>
      <c r="AG7" s="95">
        <v>14611</v>
      </c>
      <c r="AH7" s="95">
        <v>14611</v>
      </c>
      <c r="AI7" s="95"/>
      <c r="AJ7" s="95">
        <v>13500</v>
      </c>
      <c r="AK7" s="95">
        <v>13500</v>
      </c>
      <c r="AL7" s="95"/>
      <c r="AM7" s="95">
        <v>17117</v>
      </c>
      <c r="AN7" s="95">
        <v>17117</v>
      </c>
      <c r="AO7" s="95"/>
      <c r="AP7" s="332">
        <v>17877</v>
      </c>
      <c r="AQ7" s="96">
        <v>17877</v>
      </c>
    </row>
    <row r="8" spans="1:43" x14ac:dyDescent="0.25">
      <c r="A8" s="35">
        <v>61</v>
      </c>
      <c r="B8" s="36" t="s">
        <v>123</v>
      </c>
      <c r="C8" s="95">
        <v>838</v>
      </c>
      <c r="D8" s="560"/>
      <c r="E8" s="560"/>
      <c r="F8" s="140">
        <v>775</v>
      </c>
      <c r="G8" s="562"/>
      <c r="H8" s="562"/>
      <c r="I8" s="383">
        <v>1586</v>
      </c>
      <c r="J8" s="566"/>
      <c r="K8" s="566"/>
      <c r="L8" s="327">
        <v>1680</v>
      </c>
      <c r="M8" s="562"/>
      <c r="N8" s="562"/>
      <c r="O8" s="327">
        <v>1708</v>
      </c>
      <c r="P8" s="569"/>
      <c r="Q8" s="562"/>
      <c r="R8" s="95">
        <v>1820</v>
      </c>
      <c r="S8" s="569"/>
      <c r="T8" s="564"/>
      <c r="U8" s="35">
        <v>11</v>
      </c>
      <c r="V8" s="36" t="s">
        <v>124</v>
      </c>
      <c r="W8" s="95">
        <v>0</v>
      </c>
      <c r="X8" s="95">
        <f>Y8</f>
        <v>3577</v>
      </c>
      <c r="Y8" s="95">
        <v>3577</v>
      </c>
      <c r="Z8" s="95"/>
      <c r="AA8" s="95">
        <v>4968</v>
      </c>
      <c r="AB8" s="95">
        <v>4968</v>
      </c>
      <c r="AC8" s="95"/>
      <c r="AD8" s="95"/>
      <c r="AE8" s="95">
        <v>2651</v>
      </c>
      <c r="AF8" s="95"/>
      <c r="AG8" s="95">
        <v>5283</v>
      </c>
      <c r="AH8" s="95">
        <v>5283</v>
      </c>
      <c r="AI8" s="95"/>
      <c r="AJ8" s="95">
        <v>4270</v>
      </c>
      <c r="AK8" s="95">
        <v>4270</v>
      </c>
      <c r="AL8" s="95"/>
      <c r="AM8" s="95">
        <v>5284</v>
      </c>
      <c r="AN8" s="95">
        <v>5284</v>
      </c>
      <c r="AO8" s="95"/>
      <c r="AP8" s="332">
        <v>5400</v>
      </c>
      <c r="AQ8" s="96">
        <v>5400</v>
      </c>
    </row>
    <row r="9" spans="1:43" x14ac:dyDescent="0.25">
      <c r="A9" s="35">
        <v>62</v>
      </c>
      <c r="B9" s="36" t="s">
        <v>125</v>
      </c>
      <c r="C9" s="95">
        <v>514</v>
      </c>
      <c r="D9" s="95">
        <f>E9-C9</f>
        <v>1686</v>
      </c>
      <c r="E9" s="95">
        <v>2200</v>
      </c>
      <c r="F9" s="95">
        <v>424</v>
      </c>
      <c r="G9" s="95">
        <f>H9-F9</f>
        <v>619</v>
      </c>
      <c r="H9" s="95">
        <v>1043</v>
      </c>
      <c r="I9" s="375">
        <v>849</v>
      </c>
      <c r="J9" s="375">
        <f t="shared" ref="J9:J11" si="0">K9-I9</f>
        <v>1508</v>
      </c>
      <c r="K9" s="375">
        <v>2357</v>
      </c>
      <c r="L9" s="95">
        <v>825</v>
      </c>
      <c r="M9" s="131">
        <f>N9-L9</f>
        <v>1367</v>
      </c>
      <c r="N9" s="95">
        <v>2192</v>
      </c>
      <c r="O9" s="95">
        <v>976</v>
      </c>
      <c r="P9" s="130">
        <f t="shared" ref="P9:P12" si="1">Q9-O9</f>
        <v>1496</v>
      </c>
      <c r="Q9" s="95">
        <v>2472</v>
      </c>
      <c r="R9" s="95">
        <v>1083</v>
      </c>
      <c r="S9" s="131">
        <f t="shared" ref="S9:S11" si="2">T9-R9</f>
        <v>1436</v>
      </c>
      <c r="T9" s="96">
        <v>2519</v>
      </c>
      <c r="U9" s="35">
        <v>12</v>
      </c>
      <c r="V9" s="36" t="s">
        <v>126</v>
      </c>
      <c r="W9" s="95">
        <v>0</v>
      </c>
      <c r="X9" s="95">
        <f>Y9</f>
        <v>4</v>
      </c>
      <c r="Y9" s="95">
        <v>4</v>
      </c>
      <c r="Z9" s="95"/>
      <c r="AA9" s="95">
        <v>5</v>
      </c>
      <c r="AB9" s="95">
        <v>5</v>
      </c>
      <c r="AC9" s="95"/>
      <c r="AD9" s="95"/>
      <c r="AE9" s="95">
        <v>3</v>
      </c>
      <c r="AF9" s="95"/>
      <c r="AG9" s="95">
        <v>519</v>
      </c>
      <c r="AH9" s="95">
        <v>519</v>
      </c>
      <c r="AI9" s="95"/>
      <c r="AJ9" s="95">
        <v>10</v>
      </c>
      <c r="AK9" s="95">
        <v>10</v>
      </c>
      <c r="AL9" s="95"/>
      <c r="AM9" s="95">
        <v>629</v>
      </c>
      <c r="AN9" s="95">
        <v>629</v>
      </c>
      <c r="AO9" s="95"/>
      <c r="AP9" s="332">
        <v>729</v>
      </c>
      <c r="AQ9" s="96">
        <v>729</v>
      </c>
    </row>
    <row r="10" spans="1:43" x14ac:dyDescent="0.25">
      <c r="A10" s="35">
        <v>63</v>
      </c>
      <c r="B10" s="36" t="s">
        <v>51</v>
      </c>
      <c r="C10" s="95">
        <v>0</v>
      </c>
      <c r="D10" s="95">
        <f>E10-C10</f>
        <v>3719</v>
      </c>
      <c r="E10" s="95">
        <v>3719</v>
      </c>
      <c r="F10" s="95">
        <v>0</v>
      </c>
      <c r="G10" s="95">
        <f t="shared" ref="G10:G11" si="3">H10-F10</f>
        <v>2007</v>
      </c>
      <c r="H10" s="95">
        <v>2007</v>
      </c>
      <c r="I10" s="375">
        <f t="shared" ref="I10:I11" si="4">F10*2</f>
        <v>0</v>
      </c>
      <c r="J10" s="375">
        <f t="shared" si="0"/>
        <v>2469</v>
      </c>
      <c r="K10" s="375">
        <v>2469</v>
      </c>
      <c r="L10" s="95">
        <v>0</v>
      </c>
      <c r="M10" s="131">
        <f t="shared" ref="M10:M11" si="5">N10-L10</f>
        <v>2009</v>
      </c>
      <c r="N10" s="95">
        <v>2009</v>
      </c>
      <c r="O10" s="95">
        <v>0</v>
      </c>
      <c r="P10" s="130">
        <f t="shared" si="1"/>
        <v>2225</v>
      </c>
      <c r="Q10" s="95">
        <v>2225</v>
      </c>
      <c r="R10" s="95">
        <v>0</v>
      </c>
      <c r="S10" s="131">
        <f t="shared" si="2"/>
        <v>300</v>
      </c>
      <c r="T10" s="96">
        <v>300</v>
      </c>
      <c r="U10" s="35">
        <v>13</v>
      </c>
      <c r="V10" s="36" t="s">
        <v>127</v>
      </c>
      <c r="W10" s="95">
        <v>0</v>
      </c>
      <c r="X10" s="95">
        <v>0</v>
      </c>
      <c r="Y10" s="95">
        <v>0</v>
      </c>
      <c r="Z10" s="95"/>
      <c r="AA10" s="95"/>
      <c r="AB10" s="95"/>
      <c r="AC10" s="95"/>
      <c r="AD10" s="95"/>
      <c r="AE10" s="95">
        <v>0</v>
      </c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332"/>
      <c r="AQ10" s="96"/>
    </row>
    <row r="11" spans="1:43" x14ac:dyDescent="0.25">
      <c r="A11" s="35">
        <v>64</v>
      </c>
      <c r="B11" s="36" t="s">
        <v>128</v>
      </c>
      <c r="C11" s="95">
        <v>0</v>
      </c>
      <c r="D11" s="95">
        <f>E11-C11</f>
        <v>1321</v>
      </c>
      <c r="E11" s="95">
        <v>1321</v>
      </c>
      <c r="F11" s="95">
        <v>0</v>
      </c>
      <c r="G11" s="95">
        <f t="shared" si="3"/>
        <v>8305</v>
      </c>
      <c r="H11" s="95">
        <v>8305</v>
      </c>
      <c r="I11" s="375">
        <f t="shared" si="4"/>
        <v>0</v>
      </c>
      <c r="J11" s="375">
        <f t="shared" si="0"/>
        <v>1349</v>
      </c>
      <c r="K11" s="375">
        <v>1349</v>
      </c>
      <c r="L11" s="95">
        <v>0</v>
      </c>
      <c r="M11" s="131">
        <f t="shared" si="5"/>
        <v>2202</v>
      </c>
      <c r="N11" s="95">
        <v>2202</v>
      </c>
      <c r="O11" s="95">
        <v>0</v>
      </c>
      <c r="P11" s="130">
        <f t="shared" si="1"/>
        <v>2026</v>
      </c>
      <c r="Q11" s="95">
        <v>2026</v>
      </c>
      <c r="R11" s="95">
        <v>0</v>
      </c>
      <c r="S11" s="131">
        <f t="shared" si="2"/>
        <v>4542</v>
      </c>
      <c r="T11" s="96">
        <v>4542</v>
      </c>
      <c r="U11" s="35">
        <v>14</v>
      </c>
      <c r="V11" s="36" t="s">
        <v>129</v>
      </c>
      <c r="W11" s="95">
        <v>0</v>
      </c>
      <c r="X11" s="95">
        <v>0</v>
      </c>
      <c r="Y11" s="95">
        <v>0</v>
      </c>
      <c r="Z11" s="95"/>
      <c r="AA11" s="95"/>
      <c r="AB11" s="95"/>
      <c r="AC11" s="95"/>
      <c r="AD11" s="95"/>
      <c r="AE11" s="95">
        <v>0</v>
      </c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6"/>
    </row>
    <row r="12" spans="1:43" x14ac:dyDescent="0.25">
      <c r="A12" s="35"/>
      <c r="B12" s="36"/>
      <c r="C12" s="95"/>
      <c r="D12" s="95"/>
      <c r="E12" s="95"/>
      <c r="F12" s="95"/>
      <c r="G12" s="95"/>
      <c r="H12" s="95"/>
      <c r="I12" s="375"/>
      <c r="J12" s="375"/>
      <c r="K12" s="375"/>
      <c r="L12" s="95"/>
      <c r="M12" s="95"/>
      <c r="N12" s="95"/>
      <c r="O12" s="95"/>
      <c r="P12" s="130">
        <f t="shared" si="1"/>
        <v>0</v>
      </c>
      <c r="Q12" s="95"/>
      <c r="R12" s="95"/>
      <c r="S12" s="95"/>
      <c r="T12" s="96">
        <f t="shared" ref="T12:T42" si="6">S12+R12</f>
        <v>0</v>
      </c>
      <c r="U12" s="35">
        <v>19</v>
      </c>
      <c r="V12" s="36" t="s">
        <v>130</v>
      </c>
      <c r="W12" s="95">
        <f>8697+59</f>
        <v>8756</v>
      </c>
      <c r="X12" s="95">
        <f>Y12-W12</f>
        <v>0</v>
      </c>
      <c r="Y12" s="95">
        <v>8756</v>
      </c>
      <c r="Z12" s="95">
        <v>13420</v>
      </c>
      <c r="AA12" s="95"/>
      <c r="AB12" s="95">
        <v>13420</v>
      </c>
      <c r="AC12" s="95"/>
      <c r="AD12" s="95"/>
      <c r="AE12" s="95"/>
      <c r="AF12" s="95">
        <v>15094</v>
      </c>
      <c r="AG12" s="95"/>
      <c r="AH12" s="95">
        <v>15094</v>
      </c>
      <c r="AI12" s="95">
        <v>8439</v>
      </c>
      <c r="AJ12" s="95"/>
      <c r="AK12" s="95">
        <v>8439</v>
      </c>
      <c r="AL12" s="95">
        <v>12750</v>
      </c>
      <c r="AM12" s="95"/>
      <c r="AN12" s="95">
        <v>12750</v>
      </c>
      <c r="AO12" s="95">
        <v>12750</v>
      </c>
      <c r="AP12" s="95"/>
      <c r="AQ12" s="96">
        <v>12750</v>
      </c>
    </row>
    <row r="13" spans="1:43" s="48" customFormat="1" x14ac:dyDescent="0.25">
      <c r="A13" s="567" t="s">
        <v>131</v>
      </c>
      <c r="B13" s="558"/>
      <c r="C13" s="97">
        <f>SUM(C7:C12)</f>
        <v>2110</v>
      </c>
      <c r="D13" s="97">
        <f t="shared" ref="D13" si="7">SUM(D7:D12)</f>
        <v>9282</v>
      </c>
      <c r="E13" s="97">
        <f>SUM(E7:E12)</f>
        <v>11392</v>
      </c>
      <c r="F13" s="97">
        <f t="shared" ref="F13:T13" si="8">SUM(F7:F12)</f>
        <v>1578</v>
      </c>
      <c r="G13" s="97">
        <f t="shared" si="8"/>
        <v>11716</v>
      </c>
      <c r="H13" s="97">
        <f t="shared" si="8"/>
        <v>13294</v>
      </c>
      <c r="I13" s="376">
        <f t="shared" si="8"/>
        <v>3170</v>
      </c>
      <c r="J13" s="376">
        <f t="shared" si="8"/>
        <v>6629</v>
      </c>
      <c r="K13" s="376">
        <f t="shared" si="8"/>
        <v>9799</v>
      </c>
      <c r="L13" s="97">
        <f t="shared" si="8"/>
        <v>3275</v>
      </c>
      <c r="M13" s="97">
        <f t="shared" si="8"/>
        <v>6724</v>
      </c>
      <c r="N13" s="97">
        <f t="shared" si="8"/>
        <v>9999</v>
      </c>
      <c r="O13" s="97">
        <f t="shared" si="8"/>
        <v>3427</v>
      </c>
      <c r="P13" s="97">
        <f t="shared" si="8"/>
        <v>7809</v>
      </c>
      <c r="Q13" s="97">
        <f t="shared" si="8"/>
        <v>11236</v>
      </c>
      <c r="R13" s="97">
        <f t="shared" si="8"/>
        <v>3660</v>
      </c>
      <c r="S13" s="97">
        <f t="shared" si="8"/>
        <v>7841</v>
      </c>
      <c r="T13" s="98">
        <f t="shared" si="8"/>
        <v>11501</v>
      </c>
      <c r="U13" s="38" t="s">
        <v>132</v>
      </c>
      <c r="V13" s="37"/>
      <c r="W13" s="97">
        <f t="shared" ref="W13:X13" si="9">SUM(W7:W12)</f>
        <v>8756</v>
      </c>
      <c r="X13" s="97">
        <f t="shared" si="9"/>
        <v>16207</v>
      </c>
      <c r="Y13" s="97">
        <f>SUM(Y7:Y12)</f>
        <v>24963</v>
      </c>
      <c r="Z13" s="97">
        <f t="shared" ref="Z13:AA13" si="10">SUM(Z7:Z12)</f>
        <v>13420</v>
      </c>
      <c r="AA13" s="97">
        <f t="shared" si="10"/>
        <v>19500</v>
      </c>
      <c r="AB13" s="97">
        <f>SUM(AB7:AB12)</f>
        <v>32920</v>
      </c>
      <c r="AC13" s="97">
        <f t="shared" ref="AC13:AE13" si="11">SUM(AC7:AC12)</f>
        <v>0</v>
      </c>
      <c r="AD13" s="97">
        <f t="shared" si="11"/>
        <v>0</v>
      </c>
      <c r="AE13" s="97">
        <f t="shared" si="11"/>
        <v>9644</v>
      </c>
      <c r="AF13" s="97">
        <f t="shared" ref="AF13:AJ13" si="12">SUM(AF7:AF12)</f>
        <v>15094</v>
      </c>
      <c r="AG13" s="97">
        <f t="shared" si="12"/>
        <v>20413</v>
      </c>
      <c r="AH13" s="97">
        <f t="shared" si="12"/>
        <v>35507</v>
      </c>
      <c r="AI13" s="97">
        <f t="shared" si="12"/>
        <v>8439</v>
      </c>
      <c r="AJ13" s="97">
        <f t="shared" si="12"/>
        <v>17780</v>
      </c>
      <c r="AK13" s="97">
        <f>SUM(AK7:AK12)</f>
        <v>26219</v>
      </c>
      <c r="AL13" s="97">
        <f t="shared" ref="AL13:AQ13" si="13">SUM(AL7:AL12)</f>
        <v>12750</v>
      </c>
      <c r="AM13" s="97">
        <f t="shared" si="13"/>
        <v>23030</v>
      </c>
      <c r="AN13" s="97">
        <f t="shared" si="13"/>
        <v>35780</v>
      </c>
      <c r="AO13" s="97">
        <f t="shared" si="13"/>
        <v>12750</v>
      </c>
      <c r="AP13" s="97">
        <f t="shared" si="13"/>
        <v>24006</v>
      </c>
      <c r="AQ13" s="98">
        <f t="shared" si="13"/>
        <v>36756</v>
      </c>
    </row>
    <row r="14" spans="1:43" hidden="1" x14ac:dyDescent="0.25">
      <c r="A14" s="35"/>
      <c r="B14" s="36"/>
      <c r="C14" s="95"/>
      <c r="D14" s="95"/>
      <c r="E14" s="95">
        <f t="shared" ref="E14:E42" si="14">C14+D14</f>
        <v>0</v>
      </c>
      <c r="F14" s="95"/>
      <c r="G14" s="95"/>
      <c r="H14" s="95"/>
      <c r="I14" s="375"/>
      <c r="J14" s="375"/>
      <c r="K14" s="375"/>
      <c r="L14" s="95"/>
      <c r="M14" s="95"/>
      <c r="N14" s="95"/>
      <c r="O14" s="95"/>
      <c r="P14" s="95"/>
      <c r="Q14" s="95"/>
      <c r="R14" s="95"/>
      <c r="S14" s="95"/>
      <c r="T14" s="96">
        <f t="shared" si="6"/>
        <v>0</v>
      </c>
      <c r="U14" s="35"/>
      <c r="V14" s="36"/>
      <c r="W14" s="95"/>
      <c r="X14" s="95"/>
      <c r="Y14" s="95">
        <f t="shared" ref="Y14:Y42" si="15">W14+X14</f>
        <v>0</v>
      </c>
      <c r="Z14" s="95"/>
      <c r="AA14" s="95"/>
      <c r="AB14" s="95">
        <f t="shared" ref="AB14:AB42" si="16">Z14+AA14</f>
        <v>0</v>
      </c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6">
        <f t="shared" ref="AQ14:AQ42" si="17">AO14+AP14</f>
        <v>0</v>
      </c>
    </row>
    <row r="15" spans="1:43" x14ac:dyDescent="0.25">
      <c r="A15" s="46">
        <v>7</v>
      </c>
      <c r="B15" s="558" t="s">
        <v>133</v>
      </c>
      <c r="C15" s="558"/>
      <c r="D15" s="558"/>
      <c r="E15" s="558"/>
      <c r="F15" s="558"/>
      <c r="G15" s="558"/>
      <c r="H15" s="558"/>
      <c r="I15" s="558"/>
      <c r="J15" s="558"/>
      <c r="K15" s="558"/>
      <c r="L15" s="558"/>
      <c r="M15" s="558"/>
      <c r="N15" s="558"/>
      <c r="O15" s="558"/>
      <c r="P15" s="558"/>
      <c r="Q15" s="558"/>
      <c r="R15" s="558"/>
      <c r="S15" s="558"/>
      <c r="T15" s="559"/>
      <c r="U15" s="46">
        <v>2</v>
      </c>
      <c r="V15" s="558" t="s">
        <v>134</v>
      </c>
      <c r="W15" s="558"/>
      <c r="X15" s="558"/>
      <c r="Y15" s="558"/>
      <c r="Z15" s="558"/>
      <c r="AA15" s="558"/>
      <c r="AB15" s="558"/>
      <c r="AC15" s="558"/>
      <c r="AD15" s="558"/>
      <c r="AE15" s="558"/>
      <c r="AF15" s="558"/>
      <c r="AG15" s="558"/>
      <c r="AH15" s="558"/>
      <c r="AI15" s="558"/>
      <c r="AJ15" s="558"/>
      <c r="AK15" s="558"/>
      <c r="AL15" s="558"/>
      <c r="AM15" s="558"/>
      <c r="AN15" s="558"/>
      <c r="AO15" s="558"/>
      <c r="AP15" s="558"/>
      <c r="AQ15" s="559"/>
    </row>
    <row r="16" spans="1:43" x14ac:dyDescent="0.25">
      <c r="A16" s="35">
        <v>71</v>
      </c>
      <c r="B16" s="36" t="s">
        <v>135</v>
      </c>
      <c r="C16" s="95">
        <v>501</v>
      </c>
      <c r="D16" s="95">
        <f>E16-C16</f>
        <v>5309</v>
      </c>
      <c r="E16" s="95">
        <v>5810</v>
      </c>
      <c r="F16" s="95">
        <v>236</v>
      </c>
      <c r="G16" s="95">
        <f t="shared" ref="G16:G23" si="18">H16-F16</f>
        <v>2492</v>
      </c>
      <c r="H16" s="95">
        <v>2728</v>
      </c>
      <c r="I16" s="375">
        <v>516</v>
      </c>
      <c r="J16" s="375">
        <f t="shared" ref="J16:J33" si="19">K16-I16</f>
        <v>5142</v>
      </c>
      <c r="K16" s="375">
        <v>5658</v>
      </c>
      <c r="L16" s="95">
        <v>596</v>
      </c>
      <c r="M16" s="131">
        <f t="shared" ref="M16:M23" si="20">N16-L16</f>
        <v>3797</v>
      </c>
      <c r="N16" s="95">
        <v>4393</v>
      </c>
      <c r="O16" s="95">
        <v>422</v>
      </c>
      <c r="P16" s="130">
        <f t="shared" ref="P16:P23" si="21">Q16-O16</f>
        <v>5200</v>
      </c>
      <c r="Q16" s="95">
        <v>5622</v>
      </c>
      <c r="R16" s="95">
        <v>431</v>
      </c>
      <c r="S16" s="131">
        <f t="shared" ref="S16:S23" si="22">T16-R16</f>
        <v>4883</v>
      </c>
      <c r="T16" s="96">
        <v>5314</v>
      </c>
      <c r="U16" s="35">
        <v>21</v>
      </c>
      <c r="V16" s="36" t="s">
        <v>135</v>
      </c>
      <c r="W16" s="95"/>
      <c r="X16" s="95"/>
      <c r="Y16" s="95">
        <v>42</v>
      </c>
      <c r="Z16" s="95"/>
      <c r="AA16" s="95">
        <v>138</v>
      </c>
      <c r="AB16" s="95">
        <v>138</v>
      </c>
      <c r="AC16" s="95"/>
      <c r="AD16" s="95"/>
      <c r="AE16" s="95"/>
      <c r="AF16" s="95"/>
      <c r="AG16" s="95">
        <v>33</v>
      </c>
      <c r="AH16" s="95">
        <v>33</v>
      </c>
      <c r="AI16" s="95"/>
      <c r="AJ16" s="95">
        <v>25</v>
      </c>
      <c r="AK16" s="95">
        <v>25</v>
      </c>
      <c r="AL16" s="95"/>
      <c r="AM16" s="95">
        <v>276</v>
      </c>
      <c r="AN16" s="95">
        <v>276</v>
      </c>
      <c r="AO16" s="95"/>
      <c r="AP16" s="332">
        <v>276</v>
      </c>
      <c r="AQ16" s="96">
        <v>276</v>
      </c>
    </row>
    <row r="17" spans="1:43" x14ac:dyDescent="0.25">
      <c r="A17" s="35">
        <v>72</v>
      </c>
      <c r="B17" s="36" t="s">
        <v>136</v>
      </c>
      <c r="C17" s="95"/>
      <c r="D17" s="95">
        <v>1577</v>
      </c>
      <c r="E17" s="95">
        <v>1577</v>
      </c>
      <c r="F17" s="95">
        <v>0</v>
      </c>
      <c r="G17" s="95">
        <f t="shared" si="18"/>
        <v>717</v>
      </c>
      <c r="H17" s="95">
        <v>717</v>
      </c>
      <c r="I17" s="375">
        <v>81</v>
      </c>
      <c r="J17" s="375">
        <f t="shared" si="19"/>
        <v>1657</v>
      </c>
      <c r="K17" s="375">
        <v>1738</v>
      </c>
      <c r="L17" s="95">
        <v>0</v>
      </c>
      <c r="M17" s="131">
        <f t="shared" si="20"/>
        <v>466</v>
      </c>
      <c r="N17" s="95">
        <v>466</v>
      </c>
      <c r="O17" s="95">
        <v>110</v>
      </c>
      <c r="P17" s="130">
        <f t="shared" si="21"/>
        <v>540</v>
      </c>
      <c r="Q17" s="95">
        <v>650</v>
      </c>
      <c r="R17" s="95">
        <v>113</v>
      </c>
      <c r="S17" s="131">
        <f t="shared" si="22"/>
        <v>384</v>
      </c>
      <c r="T17" s="96">
        <v>497</v>
      </c>
      <c r="U17" s="35">
        <v>22</v>
      </c>
      <c r="V17" s="36" t="s">
        <v>136</v>
      </c>
      <c r="W17" s="95"/>
      <c r="X17" s="95"/>
      <c r="Y17" s="95">
        <v>0</v>
      </c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332"/>
      <c r="AQ17" s="96"/>
    </row>
    <row r="18" spans="1:43" x14ac:dyDescent="0.25">
      <c r="A18" s="35">
        <v>73</v>
      </c>
      <c r="B18" s="36" t="s">
        <v>137</v>
      </c>
      <c r="C18" s="95">
        <v>555</v>
      </c>
      <c r="D18" s="95">
        <f>E18-C18</f>
        <v>2587</v>
      </c>
      <c r="E18" s="95">
        <v>3142</v>
      </c>
      <c r="F18" s="95">
        <v>585</v>
      </c>
      <c r="G18" s="95">
        <f t="shared" si="18"/>
        <v>384</v>
      </c>
      <c r="H18" s="95">
        <v>969</v>
      </c>
      <c r="I18" s="375">
        <v>559</v>
      </c>
      <c r="J18" s="375">
        <f t="shared" si="19"/>
        <v>2472</v>
      </c>
      <c r="K18" s="375">
        <v>3031</v>
      </c>
      <c r="L18" s="95">
        <v>585</v>
      </c>
      <c r="M18" s="131">
        <f t="shared" si="20"/>
        <v>910</v>
      </c>
      <c r="N18" s="95">
        <v>1495</v>
      </c>
      <c r="O18" s="95">
        <v>581</v>
      </c>
      <c r="P18" s="130">
        <f t="shared" si="21"/>
        <v>1713</v>
      </c>
      <c r="Q18" s="95">
        <v>2294</v>
      </c>
      <c r="R18" s="95">
        <v>593</v>
      </c>
      <c r="S18" s="131">
        <f t="shared" si="22"/>
        <v>1665</v>
      </c>
      <c r="T18" s="96">
        <v>2258</v>
      </c>
      <c r="U18" s="35">
        <v>23</v>
      </c>
      <c r="V18" s="36" t="s">
        <v>137</v>
      </c>
      <c r="W18" s="95"/>
      <c r="X18" s="95"/>
      <c r="Y18" s="95">
        <v>602</v>
      </c>
      <c r="Z18" s="95">
        <v>2066</v>
      </c>
      <c r="AA18" s="95">
        <v>1601</v>
      </c>
      <c r="AB18" s="95">
        <f>Z18+AA18</f>
        <v>3667</v>
      </c>
      <c r="AC18" s="95"/>
      <c r="AD18" s="95"/>
      <c r="AE18" s="95"/>
      <c r="AF18" s="95"/>
      <c r="AG18" s="95">
        <v>1372</v>
      </c>
      <c r="AH18" s="95">
        <v>1372</v>
      </c>
      <c r="AI18" s="95"/>
      <c r="AJ18" s="95">
        <v>350</v>
      </c>
      <c r="AK18" s="95">
        <v>350</v>
      </c>
      <c r="AL18" s="95"/>
      <c r="AM18" s="95">
        <v>1666</v>
      </c>
      <c r="AN18" s="95">
        <v>1666</v>
      </c>
      <c r="AO18" s="95"/>
      <c r="AP18" s="332">
        <v>1666</v>
      </c>
      <c r="AQ18" s="96">
        <v>1666</v>
      </c>
    </row>
    <row r="19" spans="1:43" x14ac:dyDescent="0.25">
      <c r="A19" s="35">
        <v>74</v>
      </c>
      <c r="B19" s="36" t="s">
        <v>138</v>
      </c>
      <c r="C19" s="95">
        <v>824</v>
      </c>
      <c r="D19" s="95">
        <f>E19-C19</f>
        <v>806</v>
      </c>
      <c r="E19" s="95">
        <v>1630</v>
      </c>
      <c r="F19" s="95">
        <v>430</v>
      </c>
      <c r="G19" s="95">
        <f t="shared" si="18"/>
        <v>456</v>
      </c>
      <c r="H19" s="95">
        <v>886</v>
      </c>
      <c r="I19" s="375">
        <v>647</v>
      </c>
      <c r="J19" s="375">
        <f t="shared" si="19"/>
        <v>1083</v>
      </c>
      <c r="K19" s="375">
        <v>1730</v>
      </c>
      <c r="L19" s="95">
        <v>876</v>
      </c>
      <c r="M19" s="131">
        <f t="shared" si="20"/>
        <v>718</v>
      </c>
      <c r="N19" s="95">
        <f>1594</f>
        <v>1594</v>
      </c>
      <c r="O19" s="95">
        <v>656</v>
      </c>
      <c r="P19" s="130">
        <f t="shared" si="21"/>
        <v>1083</v>
      </c>
      <c r="Q19" s="95">
        <v>1739</v>
      </c>
      <c r="R19" s="95">
        <v>670</v>
      </c>
      <c r="S19" s="131">
        <f t="shared" si="22"/>
        <v>1082</v>
      </c>
      <c r="T19" s="96">
        <v>1752</v>
      </c>
      <c r="U19" s="35">
        <v>24</v>
      </c>
      <c r="V19" s="36" t="s">
        <v>138</v>
      </c>
      <c r="W19" s="95"/>
      <c r="X19" s="95"/>
      <c r="Y19" s="95">
        <v>33</v>
      </c>
      <c r="Z19" s="95">
        <v>37</v>
      </c>
      <c r="AA19" s="95">
        <v>23</v>
      </c>
      <c r="AB19" s="95">
        <f>Z19+AA19</f>
        <v>60</v>
      </c>
      <c r="AC19" s="95"/>
      <c r="AD19" s="95"/>
      <c r="AE19" s="95"/>
      <c r="AF19" s="95">
        <v>31</v>
      </c>
      <c r="AG19" s="95">
        <v>18</v>
      </c>
      <c r="AH19" s="95">
        <f>AF19+AG19</f>
        <v>49</v>
      </c>
      <c r="AI19" s="95">
        <v>40</v>
      </c>
      <c r="AJ19" s="95">
        <v>17</v>
      </c>
      <c r="AK19" s="95">
        <f>AJ19+AI19</f>
        <v>57</v>
      </c>
      <c r="AL19" s="95">
        <v>65</v>
      </c>
      <c r="AM19" s="95">
        <v>18</v>
      </c>
      <c r="AN19" s="95">
        <f>AL19+AM19</f>
        <v>83</v>
      </c>
      <c r="AO19" s="95">
        <v>65</v>
      </c>
      <c r="AP19" s="332">
        <v>18</v>
      </c>
      <c r="AQ19" s="96">
        <f>AO19+AP19</f>
        <v>83</v>
      </c>
    </row>
    <row r="20" spans="1:43" x14ac:dyDescent="0.25">
      <c r="A20" s="35">
        <v>75</v>
      </c>
      <c r="B20" s="36" t="s">
        <v>139</v>
      </c>
      <c r="C20" s="95">
        <v>0</v>
      </c>
      <c r="D20" s="95">
        <v>0</v>
      </c>
      <c r="E20" s="95">
        <v>0</v>
      </c>
      <c r="F20" s="95">
        <v>0</v>
      </c>
      <c r="G20" s="95">
        <f t="shared" si="18"/>
        <v>0</v>
      </c>
      <c r="H20" s="95">
        <v>0</v>
      </c>
      <c r="I20" s="375">
        <v>0</v>
      </c>
      <c r="J20" s="375">
        <f t="shared" si="19"/>
        <v>0</v>
      </c>
      <c r="K20" s="375">
        <v>0</v>
      </c>
      <c r="L20" s="95">
        <v>0</v>
      </c>
      <c r="M20" s="131">
        <f t="shared" si="20"/>
        <v>0</v>
      </c>
      <c r="N20" s="95">
        <v>0</v>
      </c>
      <c r="O20" s="95"/>
      <c r="P20" s="130">
        <f t="shared" si="21"/>
        <v>0</v>
      </c>
      <c r="Q20" s="95"/>
      <c r="R20" s="95"/>
      <c r="S20" s="131">
        <f t="shared" si="22"/>
        <v>0</v>
      </c>
      <c r="T20" s="96">
        <v>0</v>
      </c>
      <c r="U20" s="35">
        <v>25</v>
      </c>
      <c r="V20" s="36" t="s">
        <v>139</v>
      </c>
      <c r="W20" s="95"/>
      <c r="X20" s="95"/>
      <c r="Y20" s="95">
        <v>0</v>
      </c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332"/>
      <c r="AQ20" s="96"/>
    </row>
    <row r="21" spans="1:43" x14ac:dyDescent="0.25">
      <c r="A21" s="35">
        <v>76</v>
      </c>
      <c r="B21" s="36" t="s">
        <v>140</v>
      </c>
      <c r="C21" s="95">
        <v>0</v>
      </c>
      <c r="D21" s="95">
        <v>380</v>
      </c>
      <c r="E21" s="95">
        <v>380</v>
      </c>
      <c r="F21" s="95">
        <v>0</v>
      </c>
      <c r="G21" s="95">
        <f t="shared" si="18"/>
        <v>190</v>
      </c>
      <c r="H21" s="95">
        <v>190</v>
      </c>
      <c r="I21" s="375">
        <v>0</v>
      </c>
      <c r="J21" s="375">
        <f t="shared" si="19"/>
        <v>384</v>
      </c>
      <c r="K21" s="375">
        <v>384</v>
      </c>
      <c r="L21" s="95">
        <v>0</v>
      </c>
      <c r="M21" s="131">
        <f t="shared" si="20"/>
        <v>277</v>
      </c>
      <c r="N21" s="95">
        <v>277</v>
      </c>
      <c r="O21" s="95"/>
      <c r="P21" s="130">
        <f t="shared" si="21"/>
        <v>433</v>
      </c>
      <c r="Q21" s="95">
        <v>433</v>
      </c>
      <c r="R21" s="95"/>
      <c r="S21" s="131">
        <f t="shared" si="22"/>
        <v>433</v>
      </c>
      <c r="T21" s="96">
        <v>433</v>
      </c>
      <c r="U21" s="35">
        <v>26</v>
      </c>
      <c r="V21" s="36" t="s">
        <v>140</v>
      </c>
      <c r="W21" s="95"/>
      <c r="X21" s="95"/>
      <c r="Y21" s="95">
        <v>452</v>
      </c>
      <c r="Z21" s="95"/>
      <c r="AA21" s="95">
        <v>216</v>
      </c>
      <c r="AB21" s="95">
        <v>216</v>
      </c>
      <c r="AC21" s="95"/>
      <c r="AD21" s="95"/>
      <c r="AE21" s="95"/>
      <c r="AF21" s="95"/>
      <c r="AG21" s="95">
        <v>416</v>
      </c>
      <c r="AH21" s="95">
        <v>416</v>
      </c>
      <c r="AI21" s="95"/>
      <c r="AJ21" s="95">
        <v>577</v>
      </c>
      <c r="AK21" s="95">
        <v>577</v>
      </c>
      <c r="AL21" s="95"/>
      <c r="AM21" s="95">
        <v>250</v>
      </c>
      <c r="AN21" s="95">
        <v>250</v>
      </c>
      <c r="AO21" s="95"/>
      <c r="AP21" s="332">
        <v>250</v>
      </c>
      <c r="AQ21" s="96">
        <v>250</v>
      </c>
    </row>
    <row r="22" spans="1:43" x14ac:dyDescent="0.25">
      <c r="A22" s="35">
        <v>77</v>
      </c>
      <c r="B22" s="36"/>
      <c r="C22" s="95">
        <v>0</v>
      </c>
      <c r="D22" s="95">
        <v>0</v>
      </c>
      <c r="E22" s="95">
        <v>0</v>
      </c>
      <c r="F22" s="95"/>
      <c r="G22" s="95"/>
      <c r="H22" s="95"/>
      <c r="I22" s="375">
        <v>0</v>
      </c>
      <c r="J22" s="375">
        <f t="shared" si="19"/>
        <v>90</v>
      </c>
      <c r="K22" s="375">
        <v>90</v>
      </c>
      <c r="L22" s="95">
        <v>0</v>
      </c>
      <c r="M22" s="131">
        <f t="shared" si="20"/>
        <v>0</v>
      </c>
      <c r="N22" s="95">
        <v>0</v>
      </c>
      <c r="O22" s="95"/>
      <c r="P22" s="130">
        <f t="shared" si="21"/>
        <v>80</v>
      </c>
      <c r="Q22" s="95">
        <v>80</v>
      </c>
      <c r="R22" s="95"/>
      <c r="S22" s="131">
        <f t="shared" si="22"/>
        <v>80</v>
      </c>
      <c r="T22" s="96">
        <v>80</v>
      </c>
      <c r="U22" s="35">
        <v>27</v>
      </c>
      <c r="V22" s="36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>
        <v>80</v>
      </c>
      <c r="AM22" s="95"/>
      <c r="AN22" s="95">
        <v>80</v>
      </c>
      <c r="AO22" s="95">
        <v>80</v>
      </c>
      <c r="AP22" s="332"/>
      <c r="AQ22" s="96">
        <v>80</v>
      </c>
    </row>
    <row r="23" spans="1:43" x14ac:dyDescent="0.25">
      <c r="A23" s="35">
        <v>78</v>
      </c>
      <c r="B23" s="36" t="s">
        <v>141</v>
      </c>
      <c r="C23" s="95">
        <v>0</v>
      </c>
      <c r="D23" s="95">
        <f t="shared" ref="D23" si="23">E23-C23</f>
        <v>0</v>
      </c>
      <c r="E23" s="95">
        <v>0</v>
      </c>
      <c r="F23" s="95">
        <v>0</v>
      </c>
      <c r="G23" s="95">
        <f t="shared" si="18"/>
        <v>0</v>
      </c>
      <c r="H23" s="95">
        <v>0</v>
      </c>
      <c r="I23" s="375">
        <v>0</v>
      </c>
      <c r="J23" s="375">
        <f t="shared" si="19"/>
        <v>0</v>
      </c>
      <c r="K23" s="375">
        <v>0</v>
      </c>
      <c r="L23" s="95">
        <v>0</v>
      </c>
      <c r="M23" s="131">
        <f t="shared" si="20"/>
        <v>0</v>
      </c>
      <c r="N23" s="95">
        <v>0</v>
      </c>
      <c r="O23" s="95"/>
      <c r="P23" s="130">
        <f t="shared" si="21"/>
        <v>0</v>
      </c>
      <c r="Q23" s="95"/>
      <c r="R23" s="95"/>
      <c r="S23" s="131">
        <f t="shared" si="22"/>
        <v>0</v>
      </c>
      <c r="T23" s="96">
        <v>0</v>
      </c>
      <c r="U23" s="35">
        <v>28</v>
      </c>
      <c r="V23" s="36" t="s">
        <v>141</v>
      </c>
      <c r="W23" s="95"/>
      <c r="X23" s="95"/>
      <c r="Y23" s="95">
        <v>0</v>
      </c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332"/>
      <c r="AQ23" s="96"/>
    </row>
    <row r="24" spans="1:43" s="48" customFormat="1" x14ac:dyDescent="0.25">
      <c r="A24" s="567" t="s">
        <v>142</v>
      </c>
      <c r="B24" s="558"/>
      <c r="C24" s="97">
        <f>SUM(C16:C23)</f>
        <v>1880</v>
      </c>
      <c r="D24" s="97">
        <f t="shared" ref="D24" si="24">SUM(D16:D23)</f>
        <v>10659</v>
      </c>
      <c r="E24" s="97">
        <f>SUM(E16:E23)</f>
        <v>12539</v>
      </c>
      <c r="F24" s="97">
        <f t="shared" ref="F24:T24" si="25">SUM(F16:F23)</f>
        <v>1251</v>
      </c>
      <c r="G24" s="97">
        <f t="shared" si="25"/>
        <v>4239</v>
      </c>
      <c r="H24" s="97">
        <f t="shared" si="25"/>
        <v>5490</v>
      </c>
      <c r="I24" s="376">
        <f t="shared" si="25"/>
        <v>1803</v>
      </c>
      <c r="J24" s="376">
        <f t="shared" si="25"/>
        <v>10828</v>
      </c>
      <c r="K24" s="376">
        <f t="shared" si="25"/>
        <v>12631</v>
      </c>
      <c r="L24" s="97">
        <f t="shared" si="25"/>
        <v>2057</v>
      </c>
      <c r="M24" s="97">
        <f t="shared" si="25"/>
        <v>6168</v>
      </c>
      <c r="N24" s="97">
        <f t="shared" si="25"/>
        <v>8225</v>
      </c>
      <c r="O24" s="97">
        <f t="shared" si="25"/>
        <v>1769</v>
      </c>
      <c r="P24" s="97">
        <f t="shared" si="25"/>
        <v>9049</v>
      </c>
      <c r="Q24" s="97">
        <f t="shared" si="25"/>
        <v>10818</v>
      </c>
      <c r="R24" s="97">
        <f t="shared" si="25"/>
        <v>1807</v>
      </c>
      <c r="S24" s="97">
        <f t="shared" si="25"/>
        <v>8527</v>
      </c>
      <c r="T24" s="98">
        <f t="shared" si="25"/>
        <v>10334</v>
      </c>
      <c r="U24" s="38" t="s">
        <v>143</v>
      </c>
      <c r="V24" s="37"/>
      <c r="W24" s="97">
        <f t="shared" ref="W24:X24" si="26">SUM(W16:W23)</f>
        <v>0</v>
      </c>
      <c r="X24" s="97">
        <f t="shared" si="26"/>
        <v>0</v>
      </c>
      <c r="Y24" s="97">
        <f>SUM(Y16:Y23)</f>
        <v>1129</v>
      </c>
      <c r="Z24" s="97">
        <f t="shared" ref="Z24:AA24" si="27">SUM(Z16:Z23)</f>
        <v>2103</v>
      </c>
      <c r="AA24" s="97">
        <f t="shared" si="27"/>
        <v>1978</v>
      </c>
      <c r="AB24" s="97">
        <f>SUM(AB16:AB23)</f>
        <v>4081</v>
      </c>
      <c r="AC24" s="97">
        <f t="shared" ref="AC24:AE24" si="28">SUM(AC16:AC23)</f>
        <v>0</v>
      </c>
      <c r="AD24" s="97">
        <f t="shared" si="28"/>
        <v>0</v>
      </c>
      <c r="AE24" s="97">
        <f t="shared" si="28"/>
        <v>0</v>
      </c>
      <c r="AF24" s="97">
        <f t="shared" ref="AF24:AJ24" si="29">SUM(AF16:AF23)</f>
        <v>31</v>
      </c>
      <c r="AG24" s="97">
        <f t="shared" si="29"/>
        <v>1839</v>
      </c>
      <c r="AH24" s="97">
        <f t="shared" si="29"/>
        <v>1870</v>
      </c>
      <c r="AI24" s="97">
        <f t="shared" si="29"/>
        <v>40</v>
      </c>
      <c r="AJ24" s="97">
        <f t="shared" si="29"/>
        <v>969</v>
      </c>
      <c r="AK24" s="97">
        <f>SUM(AK16:AK23)</f>
        <v>1009</v>
      </c>
      <c r="AL24" s="97">
        <f t="shared" ref="AL24:AQ24" si="30">SUM(AL16:AL23)</f>
        <v>145</v>
      </c>
      <c r="AM24" s="97">
        <f t="shared" si="30"/>
        <v>2210</v>
      </c>
      <c r="AN24" s="97">
        <f t="shared" si="30"/>
        <v>2355</v>
      </c>
      <c r="AO24" s="97">
        <f t="shared" si="30"/>
        <v>145</v>
      </c>
      <c r="AP24" s="97">
        <f t="shared" si="30"/>
        <v>2210</v>
      </c>
      <c r="AQ24" s="97">
        <f t="shared" si="30"/>
        <v>2355</v>
      </c>
    </row>
    <row r="25" spans="1:43" hidden="1" x14ac:dyDescent="0.25">
      <c r="A25" s="35"/>
      <c r="B25" s="36"/>
      <c r="C25" s="95"/>
      <c r="D25" s="95"/>
      <c r="E25" s="95">
        <f t="shared" si="14"/>
        <v>0</v>
      </c>
      <c r="F25" s="95"/>
      <c r="G25" s="95"/>
      <c r="H25" s="95"/>
      <c r="I25" s="375"/>
      <c r="J25" s="375">
        <f t="shared" si="19"/>
        <v>0</v>
      </c>
      <c r="K25" s="375"/>
      <c r="L25" s="95"/>
      <c r="M25" s="95"/>
      <c r="N25" s="95"/>
      <c r="O25" s="95"/>
      <c r="P25" s="95"/>
      <c r="Q25" s="95"/>
      <c r="R25" s="95"/>
      <c r="S25" s="95"/>
      <c r="T25" s="96">
        <f t="shared" si="6"/>
        <v>0</v>
      </c>
      <c r="U25" s="35"/>
      <c r="V25" s="36"/>
      <c r="W25" s="95"/>
      <c r="X25" s="95"/>
      <c r="Y25" s="95">
        <f t="shared" si="15"/>
        <v>0</v>
      </c>
      <c r="Z25" s="95"/>
      <c r="AA25" s="95"/>
      <c r="AB25" s="95">
        <f t="shared" si="16"/>
        <v>0</v>
      </c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6">
        <f t="shared" si="17"/>
        <v>0</v>
      </c>
    </row>
    <row r="26" spans="1:43" x14ac:dyDescent="0.25">
      <c r="A26" s="46">
        <v>8</v>
      </c>
      <c r="B26" s="558" t="s">
        <v>144</v>
      </c>
      <c r="C26" s="558"/>
      <c r="D26" s="558"/>
      <c r="E26" s="558"/>
      <c r="F26" s="558"/>
      <c r="G26" s="558"/>
      <c r="H26" s="558"/>
      <c r="I26" s="558"/>
      <c r="J26" s="558"/>
      <c r="K26" s="558"/>
      <c r="L26" s="558"/>
      <c r="M26" s="558"/>
      <c r="N26" s="558"/>
      <c r="O26" s="558"/>
      <c r="P26" s="558"/>
      <c r="Q26" s="558"/>
      <c r="R26" s="558"/>
      <c r="S26" s="558"/>
      <c r="T26" s="559"/>
      <c r="U26" s="38">
        <v>3</v>
      </c>
      <c r="V26" s="558" t="s">
        <v>144</v>
      </c>
      <c r="W26" s="558"/>
      <c r="X26" s="558"/>
      <c r="Y26" s="558"/>
      <c r="Z26" s="558"/>
      <c r="AA26" s="558"/>
      <c r="AB26" s="558"/>
      <c r="AC26" s="558"/>
      <c r="AD26" s="558"/>
      <c r="AE26" s="558"/>
      <c r="AF26" s="558"/>
      <c r="AG26" s="558"/>
      <c r="AH26" s="558"/>
      <c r="AI26" s="558"/>
      <c r="AJ26" s="558"/>
      <c r="AK26" s="558"/>
      <c r="AL26" s="558"/>
      <c r="AM26" s="558"/>
      <c r="AN26" s="558"/>
      <c r="AO26" s="558"/>
      <c r="AP26" s="558"/>
      <c r="AQ26" s="559"/>
    </row>
    <row r="27" spans="1:43" x14ac:dyDescent="0.25">
      <c r="A27" s="35">
        <v>81</v>
      </c>
      <c r="B27" s="36" t="s">
        <v>145</v>
      </c>
      <c r="C27" s="95">
        <v>10329</v>
      </c>
      <c r="D27" s="95">
        <f>E27-C27</f>
        <v>10429</v>
      </c>
      <c r="E27" s="95">
        <v>20758</v>
      </c>
      <c r="F27" s="95">
        <v>5208</v>
      </c>
      <c r="G27" s="95">
        <f t="shared" ref="G27:G33" si="31">H27-F27</f>
        <v>5348</v>
      </c>
      <c r="H27" s="95">
        <v>10556</v>
      </c>
      <c r="I27" s="375">
        <f>301+11184</f>
        <v>11485</v>
      </c>
      <c r="J27" s="375">
        <f t="shared" si="19"/>
        <v>11809</v>
      </c>
      <c r="K27" s="375">
        <v>23294</v>
      </c>
      <c r="L27" s="95">
        <f>468+9896</f>
        <v>10364</v>
      </c>
      <c r="M27" s="131">
        <f t="shared" ref="M27:M33" si="32">N27-L27</f>
        <v>8100</v>
      </c>
      <c r="N27" s="95">
        <v>18464</v>
      </c>
      <c r="O27" s="95">
        <f>410+10358</f>
        <v>10768</v>
      </c>
      <c r="P27" s="130">
        <f t="shared" ref="P27:P33" si="33">Q27-O27</f>
        <v>12131</v>
      </c>
      <c r="Q27" s="95">
        <v>22899</v>
      </c>
      <c r="R27" s="95">
        <f>419+9851</f>
        <v>10270</v>
      </c>
      <c r="S27" s="131">
        <f t="shared" ref="S27:S33" si="34">T27-R27</f>
        <v>12044</v>
      </c>
      <c r="T27" s="96">
        <v>22314</v>
      </c>
      <c r="U27" s="35">
        <v>31</v>
      </c>
      <c r="V27" s="36" t="s">
        <v>145</v>
      </c>
      <c r="W27" s="95"/>
      <c r="X27" s="95"/>
      <c r="Y27" s="95">
        <v>14290</v>
      </c>
      <c r="Z27" s="95">
        <v>16200</v>
      </c>
      <c r="AA27" s="95">
        <v>318</v>
      </c>
      <c r="AB27" s="95">
        <f>Z27+AA27</f>
        <v>16518</v>
      </c>
      <c r="AC27" s="95"/>
      <c r="AD27" s="95"/>
      <c r="AE27" s="95"/>
      <c r="AF27" s="95">
        <f>AH27-AG27</f>
        <v>17107</v>
      </c>
      <c r="AG27" s="95">
        <v>631</v>
      </c>
      <c r="AH27" s="95">
        <v>17738</v>
      </c>
      <c r="AI27" s="95">
        <v>14479</v>
      </c>
      <c r="AJ27" s="95">
        <v>317</v>
      </c>
      <c r="AK27" s="95">
        <f>AJ27+AI27</f>
        <v>14796</v>
      </c>
      <c r="AL27" s="95">
        <f>AN27-AM27</f>
        <v>18398</v>
      </c>
      <c r="AM27" s="95">
        <v>627</v>
      </c>
      <c r="AN27" s="95">
        <v>19025</v>
      </c>
      <c r="AO27" s="95">
        <f>AQ27-AP27</f>
        <v>16902</v>
      </c>
      <c r="AP27" s="95">
        <v>627</v>
      </c>
      <c r="AQ27" s="96">
        <v>17529</v>
      </c>
    </row>
    <row r="28" spans="1:43" x14ac:dyDescent="0.25">
      <c r="A28" s="35">
        <v>82</v>
      </c>
      <c r="B28" s="36" t="s">
        <v>146</v>
      </c>
      <c r="C28" s="95">
        <v>830</v>
      </c>
      <c r="D28" s="95">
        <f>E28-C28</f>
        <v>387</v>
      </c>
      <c r="E28" s="95">
        <v>1217</v>
      </c>
      <c r="F28" s="95">
        <v>428</v>
      </c>
      <c r="G28" s="95">
        <f t="shared" si="31"/>
        <v>109</v>
      </c>
      <c r="H28" s="95">
        <v>537</v>
      </c>
      <c r="I28" s="375">
        <v>811</v>
      </c>
      <c r="J28" s="375">
        <f t="shared" si="19"/>
        <v>451</v>
      </c>
      <c r="K28" s="375">
        <v>1262</v>
      </c>
      <c r="L28" s="95">
        <v>873</v>
      </c>
      <c r="M28" s="131">
        <f t="shared" si="32"/>
        <v>702</v>
      </c>
      <c r="N28" s="95">
        <v>1575</v>
      </c>
      <c r="O28" s="95">
        <v>984</v>
      </c>
      <c r="P28" s="130">
        <f t="shared" si="33"/>
        <v>617</v>
      </c>
      <c r="Q28" s="95">
        <v>1601</v>
      </c>
      <c r="R28" s="95">
        <v>1003</v>
      </c>
      <c r="S28" s="131">
        <f t="shared" si="34"/>
        <v>557</v>
      </c>
      <c r="T28" s="96">
        <v>1560</v>
      </c>
      <c r="U28" s="35">
        <v>32</v>
      </c>
      <c r="V28" s="36" t="s">
        <v>146</v>
      </c>
      <c r="W28" s="95"/>
      <c r="X28" s="95"/>
      <c r="Y28" s="95">
        <v>849</v>
      </c>
      <c r="Z28" s="95">
        <f>AB28-AA28</f>
        <v>390</v>
      </c>
      <c r="AA28" s="95">
        <v>113</v>
      </c>
      <c r="AB28" s="95">
        <v>503</v>
      </c>
      <c r="AC28" s="95"/>
      <c r="AD28" s="95"/>
      <c r="AE28" s="95"/>
      <c r="AF28" s="95">
        <f>AH28-AG28</f>
        <v>1018</v>
      </c>
      <c r="AG28" s="95">
        <v>97</v>
      </c>
      <c r="AH28" s="95">
        <v>1115</v>
      </c>
      <c r="AI28" s="95">
        <f>666-111</f>
        <v>555</v>
      </c>
      <c r="AJ28" s="95">
        <v>111</v>
      </c>
      <c r="AK28" s="95">
        <v>666</v>
      </c>
      <c r="AL28" s="95">
        <f>AN28-AM28</f>
        <v>624</v>
      </c>
      <c r="AM28" s="95">
        <v>83</v>
      </c>
      <c r="AN28" s="95">
        <v>707</v>
      </c>
      <c r="AO28" s="95">
        <f>AQ28-AP28</f>
        <v>624</v>
      </c>
      <c r="AP28" s="95">
        <v>83</v>
      </c>
      <c r="AQ28" s="96">
        <v>707</v>
      </c>
    </row>
    <row r="29" spans="1:43" x14ac:dyDescent="0.25">
      <c r="A29" s="35">
        <v>83</v>
      </c>
      <c r="B29" s="36" t="s">
        <v>147</v>
      </c>
      <c r="C29" s="95">
        <v>59</v>
      </c>
      <c r="D29" s="95">
        <f>E29-C29</f>
        <v>78</v>
      </c>
      <c r="E29" s="95">
        <v>137</v>
      </c>
      <c r="F29" s="95">
        <v>31</v>
      </c>
      <c r="G29" s="95">
        <f t="shared" si="31"/>
        <v>39</v>
      </c>
      <c r="H29" s="95">
        <v>70</v>
      </c>
      <c r="I29" s="375">
        <v>63</v>
      </c>
      <c r="J29" s="375">
        <f t="shared" si="19"/>
        <v>75</v>
      </c>
      <c r="K29" s="375">
        <v>138</v>
      </c>
      <c r="L29" s="95">
        <v>60</v>
      </c>
      <c r="M29" s="131">
        <f t="shared" si="32"/>
        <v>69</v>
      </c>
      <c r="N29" s="95">
        <v>129</v>
      </c>
      <c r="O29" s="95">
        <v>64</v>
      </c>
      <c r="P29" s="130">
        <f t="shared" si="33"/>
        <v>82</v>
      </c>
      <c r="Q29" s="95">
        <v>146</v>
      </c>
      <c r="R29" s="95">
        <v>65</v>
      </c>
      <c r="S29" s="131">
        <f t="shared" si="34"/>
        <v>82</v>
      </c>
      <c r="T29" s="96">
        <v>147</v>
      </c>
      <c r="U29" s="35">
        <v>33</v>
      </c>
      <c r="V29" s="36" t="s">
        <v>147</v>
      </c>
      <c r="W29" s="95"/>
      <c r="X29" s="95"/>
      <c r="Y29" s="95">
        <v>32</v>
      </c>
      <c r="Z29" s="95"/>
      <c r="AA29" s="95"/>
      <c r="AB29" s="95"/>
      <c r="AC29" s="95"/>
      <c r="AD29" s="95"/>
      <c r="AE29" s="95"/>
      <c r="AF29" s="95"/>
      <c r="AG29" s="95"/>
      <c r="AH29" s="95"/>
      <c r="AI29" s="95">
        <v>26</v>
      </c>
      <c r="AJ29" s="95">
        <v>0</v>
      </c>
      <c r="AK29" s="95">
        <v>26</v>
      </c>
      <c r="AL29" s="95"/>
      <c r="AM29" s="95"/>
      <c r="AN29" s="95"/>
      <c r="AO29" s="95"/>
      <c r="AP29" s="95"/>
      <c r="AQ29" s="96"/>
    </row>
    <row r="30" spans="1:43" x14ac:dyDescent="0.25">
      <c r="A30" s="35">
        <v>84</v>
      </c>
      <c r="B30" s="36" t="s">
        <v>148</v>
      </c>
      <c r="C30" s="95">
        <v>2231</v>
      </c>
      <c r="D30" s="95">
        <f>E30-C30</f>
        <v>5775</v>
      </c>
      <c r="E30" s="95">
        <v>8006</v>
      </c>
      <c r="F30" s="95">
        <v>929</v>
      </c>
      <c r="G30" s="95">
        <f t="shared" si="31"/>
        <v>3033</v>
      </c>
      <c r="H30" s="95">
        <v>3962</v>
      </c>
      <c r="I30" s="375">
        <v>2352</v>
      </c>
      <c r="J30" s="375">
        <f t="shared" si="19"/>
        <v>6265</v>
      </c>
      <c r="K30" s="375">
        <v>8617</v>
      </c>
      <c r="L30" s="95">
        <v>2667</v>
      </c>
      <c r="M30" s="131">
        <f t="shared" si="32"/>
        <v>4509</v>
      </c>
      <c r="N30" s="95">
        <v>7176</v>
      </c>
      <c r="O30" s="95">
        <v>2366</v>
      </c>
      <c r="P30" s="130">
        <f t="shared" si="33"/>
        <v>6013</v>
      </c>
      <c r="Q30" s="95">
        <v>8379</v>
      </c>
      <c r="R30" s="95">
        <v>2414</v>
      </c>
      <c r="S30" s="131">
        <f t="shared" si="34"/>
        <v>6012</v>
      </c>
      <c r="T30" s="96">
        <v>8426</v>
      </c>
      <c r="U30" s="35">
        <v>34</v>
      </c>
      <c r="V30" s="36" t="s">
        <v>148</v>
      </c>
      <c r="W30" s="95"/>
      <c r="X30" s="95"/>
      <c r="Y30" s="95">
        <v>4532</v>
      </c>
      <c r="Z30" s="95">
        <v>6105</v>
      </c>
      <c r="AA30" s="95">
        <v>0</v>
      </c>
      <c r="AB30" s="95">
        <v>6105</v>
      </c>
      <c r="AC30" s="95"/>
      <c r="AD30" s="95"/>
      <c r="AE30" s="95"/>
      <c r="AF30" s="95">
        <v>5833</v>
      </c>
      <c r="AG30" s="95">
        <v>0</v>
      </c>
      <c r="AH30" s="95">
        <v>5833</v>
      </c>
      <c r="AI30" s="95">
        <v>4151</v>
      </c>
      <c r="AJ30" s="95"/>
      <c r="AK30" s="95">
        <v>4151</v>
      </c>
      <c r="AL30" s="95">
        <v>5609</v>
      </c>
      <c r="AM30" s="95">
        <v>0</v>
      </c>
      <c r="AN30" s="95">
        <v>5609</v>
      </c>
      <c r="AO30" s="95">
        <v>5609</v>
      </c>
      <c r="AP30" s="95">
        <v>0</v>
      </c>
      <c r="AQ30" s="96">
        <v>5609</v>
      </c>
    </row>
    <row r="31" spans="1:43" x14ac:dyDescent="0.25">
      <c r="A31" s="35">
        <v>85</v>
      </c>
      <c r="B31" s="36" t="s">
        <v>149</v>
      </c>
      <c r="C31" s="95">
        <v>0</v>
      </c>
      <c r="D31" s="95">
        <v>62</v>
      </c>
      <c r="E31" s="95">
        <v>62</v>
      </c>
      <c r="F31" s="95">
        <v>0</v>
      </c>
      <c r="G31" s="95">
        <f t="shared" si="31"/>
        <v>44</v>
      </c>
      <c r="H31" s="95">
        <v>44</v>
      </c>
      <c r="I31" s="375">
        <v>0</v>
      </c>
      <c r="J31" s="375">
        <f t="shared" si="19"/>
        <v>18</v>
      </c>
      <c r="K31" s="375">
        <v>18</v>
      </c>
      <c r="L31" s="95">
        <v>0</v>
      </c>
      <c r="M31" s="131">
        <f t="shared" si="32"/>
        <v>25</v>
      </c>
      <c r="N31" s="95">
        <v>25</v>
      </c>
      <c r="O31" s="95"/>
      <c r="P31" s="130">
        <f t="shared" si="33"/>
        <v>78</v>
      </c>
      <c r="Q31" s="95">
        <v>78</v>
      </c>
      <c r="R31" s="95"/>
      <c r="S31" s="131">
        <f t="shared" si="34"/>
        <v>0</v>
      </c>
      <c r="T31" s="96"/>
      <c r="U31" s="35">
        <v>35</v>
      </c>
      <c r="V31" s="36" t="s">
        <v>149</v>
      </c>
      <c r="W31" s="95"/>
      <c r="X31" s="95"/>
      <c r="Y31" s="95">
        <v>0</v>
      </c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6"/>
    </row>
    <row r="32" spans="1:43" x14ac:dyDescent="0.25">
      <c r="A32" s="35">
        <v>86</v>
      </c>
      <c r="B32" s="36" t="s">
        <v>150</v>
      </c>
      <c r="C32" s="95">
        <v>0</v>
      </c>
      <c r="D32" s="95">
        <v>0</v>
      </c>
      <c r="E32" s="95">
        <v>0</v>
      </c>
      <c r="F32" s="95">
        <v>0</v>
      </c>
      <c r="G32" s="95">
        <f t="shared" si="31"/>
        <v>0</v>
      </c>
      <c r="H32" s="95">
        <v>0</v>
      </c>
      <c r="I32" s="375">
        <v>0</v>
      </c>
      <c r="J32" s="375">
        <f t="shared" si="19"/>
        <v>0</v>
      </c>
      <c r="K32" s="375">
        <v>0</v>
      </c>
      <c r="L32" s="95">
        <v>0</v>
      </c>
      <c r="M32" s="131">
        <f t="shared" si="32"/>
        <v>0</v>
      </c>
      <c r="N32" s="95">
        <v>0</v>
      </c>
      <c r="O32" s="95"/>
      <c r="P32" s="130">
        <f t="shared" si="33"/>
        <v>0</v>
      </c>
      <c r="Q32" s="95"/>
      <c r="R32" s="95"/>
      <c r="S32" s="131">
        <f t="shared" si="34"/>
        <v>0</v>
      </c>
      <c r="T32" s="96"/>
      <c r="U32" s="35">
        <v>36</v>
      </c>
      <c r="V32" s="36" t="s">
        <v>150</v>
      </c>
      <c r="W32" s="95"/>
      <c r="X32" s="95"/>
      <c r="Y32" s="95">
        <v>0</v>
      </c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6"/>
    </row>
    <row r="33" spans="1:46" x14ac:dyDescent="0.25">
      <c r="A33" s="35">
        <v>87</v>
      </c>
      <c r="B33" s="36" t="s">
        <v>151</v>
      </c>
      <c r="C33" s="95">
        <v>0</v>
      </c>
      <c r="D33" s="95">
        <v>22</v>
      </c>
      <c r="E33" s="95">
        <v>22</v>
      </c>
      <c r="F33" s="95">
        <v>0</v>
      </c>
      <c r="G33" s="95">
        <f t="shared" si="31"/>
        <v>22</v>
      </c>
      <c r="H33" s="95">
        <v>22</v>
      </c>
      <c r="I33" s="375">
        <v>0</v>
      </c>
      <c r="J33" s="375">
        <f t="shared" si="19"/>
        <v>0</v>
      </c>
      <c r="K33" s="375">
        <v>0</v>
      </c>
      <c r="L33" s="95">
        <v>0</v>
      </c>
      <c r="M33" s="131">
        <f t="shared" si="32"/>
        <v>250</v>
      </c>
      <c r="N33" s="95">
        <v>250</v>
      </c>
      <c r="O33" s="95"/>
      <c r="P33" s="130">
        <f t="shared" si="33"/>
        <v>153</v>
      </c>
      <c r="Q33" s="95">
        <v>153</v>
      </c>
      <c r="R33" s="95"/>
      <c r="S33" s="131">
        <f t="shared" si="34"/>
        <v>153</v>
      </c>
      <c r="T33" s="96">
        <v>153</v>
      </c>
      <c r="U33" s="35">
        <v>37</v>
      </c>
      <c r="V33" s="36" t="s">
        <v>151</v>
      </c>
      <c r="W33" s="95"/>
      <c r="X33" s="95"/>
      <c r="Y33" s="95">
        <v>317</v>
      </c>
      <c r="Z33" s="95">
        <v>15</v>
      </c>
      <c r="AA33" s="95">
        <v>0</v>
      </c>
      <c r="AB33" s="95">
        <v>15</v>
      </c>
      <c r="AC33" s="95"/>
      <c r="AD33" s="95"/>
      <c r="AE33" s="95"/>
      <c r="AF33" s="95">
        <v>20</v>
      </c>
      <c r="AG33" s="95">
        <v>0</v>
      </c>
      <c r="AH33" s="95">
        <v>20</v>
      </c>
      <c r="AI33" s="95">
        <v>200</v>
      </c>
      <c r="AJ33" s="95"/>
      <c r="AK33" s="95">
        <v>200</v>
      </c>
      <c r="AL33" s="95">
        <v>0</v>
      </c>
      <c r="AM33" s="95">
        <v>120</v>
      </c>
      <c r="AN33" s="95">
        <v>120</v>
      </c>
      <c r="AO33" s="95">
        <v>0</v>
      </c>
      <c r="AP33" s="95">
        <v>120</v>
      </c>
      <c r="AQ33" s="96">
        <v>120</v>
      </c>
    </row>
    <row r="34" spans="1:46" s="48" customFormat="1" x14ac:dyDescent="0.25">
      <c r="A34" s="567" t="s">
        <v>152</v>
      </c>
      <c r="B34" s="558"/>
      <c r="C34" s="97">
        <f>SUM(C27:C33)</f>
        <v>13449</v>
      </c>
      <c r="D34" s="97">
        <f t="shared" ref="D34" si="35">SUM(D27:D33)</f>
        <v>16753</v>
      </c>
      <c r="E34" s="97">
        <f>SUM(E27:E33)</f>
        <v>30202</v>
      </c>
      <c r="F34" s="97">
        <f t="shared" ref="F34:T34" si="36">SUM(F27:F33)</f>
        <v>6596</v>
      </c>
      <c r="G34" s="97">
        <f t="shared" si="36"/>
        <v>8595</v>
      </c>
      <c r="H34" s="97">
        <f t="shared" si="36"/>
        <v>15191</v>
      </c>
      <c r="I34" s="376">
        <f t="shared" si="36"/>
        <v>14711</v>
      </c>
      <c r="J34" s="376">
        <f t="shared" si="36"/>
        <v>18618</v>
      </c>
      <c r="K34" s="376">
        <f t="shared" si="36"/>
        <v>33329</v>
      </c>
      <c r="L34" s="97">
        <f>SUM(L27:L33)</f>
        <v>13964</v>
      </c>
      <c r="M34" s="97">
        <f t="shared" si="36"/>
        <v>13655</v>
      </c>
      <c r="N34" s="97">
        <f t="shared" si="36"/>
        <v>27619</v>
      </c>
      <c r="O34" s="97">
        <f t="shared" si="36"/>
        <v>14182</v>
      </c>
      <c r="P34" s="97">
        <f t="shared" si="36"/>
        <v>19074</v>
      </c>
      <c r="Q34" s="97">
        <f t="shared" si="36"/>
        <v>33256</v>
      </c>
      <c r="R34" s="97">
        <f t="shared" si="36"/>
        <v>13752</v>
      </c>
      <c r="S34" s="97">
        <f t="shared" si="36"/>
        <v>18848</v>
      </c>
      <c r="T34" s="98">
        <f t="shared" si="36"/>
        <v>32600</v>
      </c>
      <c r="U34" s="38" t="s">
        <v>153</v>
      </c>
      <c r="V34" s="37"/>
      <c r="W34" s="97">
        <f t="shared" ref="W34:X34" si="37">SUM(W27:W33)</f>
        <v>0</v>
      </c>
      <c r="X34" s="97">
        <f t="shared" si="37"/>
        <v>0</v>
      </c>
      <c r="Y34" s="97">
        <f>SUM(Y27:Y33)</f>
        <v>20020</v>
      </c>
      <c r="Z34" s="97">
        <f t="shared" ref="Z34:AA34" si="38">SUM(Z27:Z33)</f>
        <v>22710</v>
      </c>
      <c r="AA34" s="97">
        <f t="shared" si="38"/>
        <v>431</v>
      </c>
      <c r="AB34" s="97">
        <f>SUM(AB27:AB33)</f>
        <v>23141</v>
      </c>
      <c r="AC34" s="97">
        <f t="shared" ref="AC34:AE34" si="39">SUM(AC27:AC33)</f>
        <v>0</v>
      </c>
      <c r="AD34" s="97">
        <f t="shared" si="39"/>
        <v>0</v>
      </c>
      <c r="AE34" s="97">
        <f t="shared" si="39"/>
        <v>0</v>
      </c>
      <c r="AF34" s="97">
        <f t="shared" ref="AF34:AJ34" si="40">SUM(AF27:AF33)</f>
        <v>23978</v>
      </c>
      <c r="AG34" s="97">
        <f t="shared" si="40"/>
        <v>728</v>
      </c>
      <c r="AH34" s="97">
        <f t="shared" si="40"/>
        <v>24706</v>
      </c>
      <c r="AI34" s="97">
        <f t="shared" si="40"/>
        <v>19411</v>
      </c>
      <c r="AJ34" s="97">
        <f t="shared" si="40"/>
        <v>428</v>
      </c>
      <c r="AK34" s="97">
        <f>SUM(AK27:AK33)</f>
        <v>19839</v>
      </c>
      <c r="AL34" s="97">
        <f t="shared" ref="AL34:AQ34" si="41">SUM(AL27:AL33)</f>
        <v>24631</v>
      </c>
      <c r="AM34" s="97">
        <f t="shared" si="41"/>
        <v>830</v>
      </c>
      <c r="AN34" s="97">
        <f t="shared" si="41"/>
        <v>25461</v>
      </c>
      <c r="AO34" s="97">
        <f t="shared" si="41"/>
        <v>23135</v>
      </c>
      <c r="AP34" s="97">
        <f t="shared" si="41"/>
        <v>830</v>
      </c>
      <c r="AQ34" s="98">
        <f t="shared" si="41"/>
        <v>23965</v>
      </c>
    </row>
    <row r="35" spans="1:46" hidden="1" x14ac:dyDescent="0.25">
      <c r="A35" s="35"/>
      <c r="B35" s="36"/>
      <c r="C35" s="95"/>
      <c r="D35" s="95"/>
      <c r="E35" s="95">
        <f t="shared" si="14"/>
        <v>0</v>
      </c>
      <c r="F35" s="95"/>
      <c r="G35" s="95"/>
      <c r="H35" s="95"/>
      <c r="I35" s="375"/>
      <c r="J35" s="375"/>
      <c r="K35" s="375"/>
      <c r="L35" s="95"/>
      <c r="M35" s="95"/>
      <c r="N35" s="95"/>
      <c r="O35" s="95"/>
      <c r="P35" s="95"/>
      <c r="Q35" s="95"/>
      <c r="R35" s="95"/>
      <c r="S35" s="95"/>
      <c r="T35" s="96">
        <f t="shared" si="6"/>
        <v>0</v>
      </c>
      <c r="U35" s="35"/>
      <c r="V35" s="36"/>
      <c r="W35" s="95"/>
      <c r="X35" s="95"/>
      <c r="Y35" s="95">
        <f t="shared" si="15"/>
        <v>0</v>
      </c>
      <c r="Z35" s="95"/>
      <c r="AA35" s="95"/>
      <c r="AB35" s="95">
        <f t="shared" si="16"/>
        <v>0</v>
      </c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6">
        <f t="shared" si="17"/>
        <v>0</v>
      </c>
    </row>
    <row r="36" spans="1:46" x14ac:dyDescent="0.25">
      <c r="A36" s="46">
        <v>9</v>
      </c>
      <c r="B36" s="558" t="s">
        <v>154</v>
      </c>
      <c r="C36" s="558"/>
      <c r="D36" s="558"/>
      <c r="E36" s="558"/>
      <c r="F36" s="558"/>
      <c r="G36" s="558"/>
      <c r="H36" s="558"/>
      <c r="I36" s="558"/>
      <c r="J36" s="558"/>
      <c r="K36" s="558"/>
      <c r="L36" s="558"/>
      <c r="M36" s="558"/>
      <c r="N36" s="558"/>
      <c r="O36" s="558"/>
      <c r="P36" s="558"/>
      <c r="Q36" s="558"/>
      <c r="R36" s="558"/>
      <c r="S36" s="558"/>
      <c r="T36" s="559"/>
      <c r="U36" s="47">
        <v>4</v>
      </c>
      <c r="V36" s="558" t="s">
        <v>154</v>
      </c>
      <c r="W36" s="558"/>
      <c r="X36" s="558"/>
      <c r="Y36" s="558"/>
      <c r="Z36" s="558"/>
      <c r="AA36" s="558"/>
      <c r="AB36" s="558"/>
      <c r="AC36" s="558"/>
      <c r="AD36" s="558"/>
      <c r="AE36" s="558"/>
      <c r="AF36" s="558"/>
      <c r="AG36" s="558"/>
      <c r="AH36" s="558"/>
      <c r="AI36" s="558"/>
      <c r="AJ36" s="558"/>
      <c r="AK36" s="558"/>
      <c r="AL36" s="558"/>
      <c r="AM36" s="558"/>
      <c r="AN36" s="558"/>
      <c r="AO36" s="558"/>
      <c r="AP36" s="558"/>
      <c r="AQ36" s="559"/>
    </row>
    <row r="37" spans="1:46" x14ac:dyDescent="0.25">
      <c r="A37" s="35">
        <v>91</v>
      </c>
      <c r="B37" s="36" t="s">
        <v>155</v>
      </c>
      <c r="C37" s="95">
        <v>388</v>
      </c>
      <c r="D37" s="95">
        <f>E37-C37</f>
        <v>10797</v>
      </c>
      <c r="E37" s="95">
        <v>11185</v>
      </c>
      <c r="F37" s="95">
        <v>198</v>
      </c>
      <c r="G37" s="95">
        <f t="shared" ref="G37:G40" si="42">H37-F37</f>
        <v>4738</v>
      </c>
      <c r="H37" s="95">
        <v>4936</v>
      </c>
      <c r="I37" s="375">
        <v>356</v>
      </c>
      <c r="J37" s="375">
        <f t="shared" ref="J37" si="43">K37-I37</f>
        <v>6742</v>
      </c>
      <c r="K37" s="375">
        <v>7098</v>
      </c>
      <c r="L37" s="95">
        <v>152</v>
      </c>
      <c r="M37" s="131">
        <f t="shared" ref="M37:M40" si="44">N37-L37</f>
        <v>8581</v>
      </c>
      <c r="N37" s="95">
        <v>8733</v>
      </c>
      <c r="O37" s="95">
        <v>225</v>
      </c>
      <c r="P37" s="130">
        <f t="shared" ref="P37:P40" si="45">Q37-O37</f>
        <v>6505</v>
      </c>
      <c r="Q37" s="95">
        <v>6730</v>
      </c>
      <c r="R37" s="95">
        <v>0</v>
      </c>
      <c r="S37" s="131">
        <f t="shared" ref="S37:S40" si="46">T37-R37</f>
        <v>0</v>
      </c>
      <c r="T37" s="96"/>
      <c r="U37" s="35">
        <v>41</v>
      </c>
      <c r="V37" s="36" t="s">
        <v>155</v>
      </c>
      <c r="W37" s="95">
        <v>0</v>
      </c>
      <c r="X37" s="95">
        <f>Y37</f>
        <v>6348</v>
      </c>
      <c r="Y37" s="95">
        <v>6348</v>
      </c>
      <c r="Z37" s="95"/>
      <c r="AA37" s="95">
        <v>5508</v>
      </c>
      <c r="AB37" s="95">
        <v>5508</v>
      </c>
      <c r="AC37" s="95"/>
      <c r="AD37" s="95"/>
      <c r="AE37" s="95"/>
      <c r="AF37" s="95"/>
      <c r="AG37" s="95">
        <v>5808</v>
      </c>
      <c r="AH37" s="95">
        <v>5808</v>
      </c>
      <c r="AI37" s="95"/>
      <c r="AJ37" s="95">
        <v>6198</v>
      </c>
      <c r="AK37" s="95">
        <v>6198</v>
      </c>
      <c r="AL37" s="95"/>
      <c r="AM37" s="95">
        <v>5829</v>
      </c>
      <c r="AN37" s="95">
        <v>5829</v>
      </c>
      <c r="AO37" s="95"/>
      <c r="AP37" s="332">
        <v>1949</v>
      </c>
      <c r="AQ37" s="96">
        <v>1949</v>
      </c>
    </row>
    <row r="38" spans="1:46" x14ac:dyDescent="0.25">
      <c r="A38" s="35">
        <v>93</v>
      </c>
      <c r="B38" s="36" t="s">
        <v>156</v>
      </c>
      <c r="C38" s="95">
        <v>0</v>
      </c>
      <c r="D38" s="95">
        <v>33</v>
      </c>
      <c r="E38" s="95">
        <v>33</v>
      </c>
      <c r="F38" s="95">
        <v>0</v>
      </c>
      <c r="G38" s="95">
        <f t="shared" si="42"/>
        <v>17</v>
      </c>
      <c r="H38" s="95">
        <v>17</v>
      </c>
      <c r="I38" s="375">
        <v>0</v>
      </c>
      <c r="J38" s="375"/>
      <c r="K38" s="375">
        <v>63</v>
      </c>
      <c r="L38" s="95">
        <v>0</v>
      </c>
      <c r="M38" s="131">
        <f t="shared" si="44"/>
        <v>40</v>
      </c>
      <c r="N38" s="95">
        <v>40</v>
      </c>
      <c r="O38" s="95">
        <v>0</v>
      </c>
      <c r="P38" s="130">
        <f t="shared" si="45"/>
        <v>63</v>
      </c>
      <c r="Q38" s="95">
        <v>63</v>
      </c>
      <c r="R38" s="95">
        <v>0</v>
      </c>
      <c r="S38" s="131">
        <f t="shared" si="46"/>
        <v>63</v>
      </c>
      <c r="T38" s="96">
        <v>63</v>
      </c>
      <c r="U38" s="35">
        <v>43</v>
      </c>
      <c r="V38" s="36" t="s">
        <v>156</v>
      </c>
      <c r="W38" s="95">
        <v>0</v>
      </c>
      <c r="X38" s="95">
        <v>0</v>
      </c>
      <c r="Y38" s="95">
        <v>0</v>
      </c>
      <c r="Z38" s="95"/>
      <c r="AA38" s="95"/>
      <c r="AB38" s="95"/>
      <c r="AC38" s="95"/>
      <c r="AD38" s="95"/>
      <c r="AE38" s="95"/>
      <c r="AF38" s="95"/>
      <c r="AG38" s="95"/>
      <c r="AH38" s="95"/>
      <c r="AI38" s="95">
        <v>0</v>
      </c>
      <c r="AJ38" s="95">
        <v>0</v>
      </c>
      <c r="AK38" s="95">
        <v>0</v>
      </c>
      <c r="AL38" s="95"/>
      <c r="AM38" s="95"/>
      <c r="AN38" s="95"/>
      <c r="AO38" s="95"/>
      <c r="AP38" s="332"/>
      <c r="AQ38" s="96"/>
    </row>
    <row r="39" spans="1:46" x14ac:dyDescent="0.25">
      <c r="A39" s="35">
        <v>94</v>
      </c>
      <c r="B39" s="36"/>
      <c r="C39" s="95">
        <v>0</v>
      </c>
      <c r="D39" s="95">
        <v>0</v>
      </c>
      <c r="E39" s="95">
        <v>0</v>
      </c>
      <c r="F39" s="95"/>
      <c r="G39" s="95"/>
      <c r="H39" s="95"/>
      <c r="I39" s="375">
        <v>0</v>
      </c>
      <c r="J39" s="375"/>
      <c r="K39" s="375"/>
      <c r="L39" s="95">
        <v>0</v>
      </c>
      <c r="M39" s="131">
        <v>0</v>
      </c>
      <c r="N39" s="95">
        <v>0</v>
      </c>
      <c r="O39" s="95"/>
      <c r="P39" s="130"/>
      <c r="Q39" s="95">
        <v>100</v>
      </c>
      <c r="R39" s="95"/>
      <c r="S39" s="131"/>
      <c r="T39" s="96">
        <v>50</v>
      </c>
      <c r="U39" s="35"/>
      <c r="V39" s="36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332"/>
      <c r="AQ39" s="96"/>
    </row>
    <row r="40" spans="1:46" x14ac:dyDescent="0.25">
      <c r="A40" s="35">
        <v>97</v>
      </c>
      <c r="B40" s="36" t="s">
        <v>157</v>
      </c>
      <c r="C40" s="95">
        <v>0</v>
      </c>
      <c r="D40" s="95">
        <v>2565</v>
      </c>
      <c r="E40" s="95">
        <v>2565</v>
      </c>
      <c r="F40" s="95">
        <v>0</v>
      </c>
      <c r="G40" s="95">
        <f t="shared" si="42"/>
        <v>1248</v>
      </c>
      <c r="H40" s="95">
        <v>1248</v>
      </c>
      <c r="I40" s="375">
        <f t="shared" ref="I40" si="47">F40*2</f>
        <v>0</v>
      </c>
      <c r="J40" s="375"/>
      <c r="K40" s="375">
        <v>2528</v>
      </c>
      <c r="L40" s="95">
        <v>0</v>
      </c>
      <c r="M40" s="131">
        <f t="shared" si="44"/>
        <v>2989</v>
      </c>
      <c r="N40" s="95">
        <v>2989</v>
      </c>
      <c r="O40" s="95">
        <v>0</v>
      </c>
      <c r="P40" s="130">
        <f t="shared" si="45"/>
        <v>2278</v>
      </c>
      <c r="Q40" s="95">
        <v>2278</v>
      </c>
      <c r="R40" s="95">
        <v>0</v>
      </c>
      <c r="S40" s="131">
        <f t="shared" si="46"/>
        <v>0</v>
      </c>
      <c r="T40" s="96"/>
      <c r="U40" s="35">
        <v>47</v>
      </c>
      <c r="V40" s="36" t="s">
        <v>157</v>
      </c>
      <c r="W40" s="95">
        <v>0</v>
      </c>
      <c r="X40" s="95">
        <f>Y40</f>
        <v>550</v>
      </c>
      <c r="Y40" s="95">
        <v>550</v>
      </c>
      <c r="Z40" s="95">
        <v>0</v>
      </c>
      <c r="AA40" s="95">
        <v>300</v>
      </c>
      <c r="AB40" s="95">
        <v>300</v>
      </c>
      <c r="AC40" s="95"/>
      <c r="AD40" s="95"/>
      <c r="AE40" s="95"/>
      <c r="AF40" s="95">
        <v>0</v>
      </c>
      <c r="AG40" s="95">
        <v>87</v>
      </c>
      <c r="AH40" s="95">
        <v>87</v>
      </c>
      <c r="AI40" s="95">
        <v>0</v>
      </c>
      <c r="AJ40" s="95">
        <v>385</v>
      </c>
      <c r="AK40" s="95">
        <v>385</v>
      </c>
      <c r="AL40" s="95"/>
      <c r="AM40" s="95">
        <v>61</v>
      </c>
      <c r="AN40" s="95">
        <v>61</v>
      </c>
      <c r="AO40" s="95">
        <v>0</v>
      </c>
      <c r="AP40" s="332">
        <v>0</v>
      </c>
      <c r="AQ40" s="96">
        <v>0</v>
      </c>
    </row>
    <row r="41" spans="1:46" s="48" customFormat="1" x14ac:dyDescent="0.25">
      <c r="A41" s="567" t="s">
        <v>158</v>
      </c>
      <c r="B41" s="558"/>
      <c r="C41" s="97">
        <f>SUM(C37:C40)</f>
        <v>388</v>
      </c>
      <c r="D41" s="97">
        <f>SUM(D37:D40)</f>
        <v>13395</v>
      </c>
      <c r="E41" s="97">
        <f>SUM(E37:E40)</f>
        <v>13783</v>
      </c>
      <c r="F41" s="97">
        <f t="shared" ref="F41:T41" si="48">SUM(F37:F40)</f>
        <v>198</v>
      </c>
      <c r="G41" s="97">
        <f t="shared" si="48"/>
        <v>6003</v>
      </c>
      <c r="H41" s="97">
        <f t="shared" si="48"/>
        <v>6201</v>
      </c>
      <c r="I41" s="376">
        <f t="shared" si="48"/>
        <v>356</v>
      </c>
      <c r="J41" s="376">
        <f t="shared" si="48"/>
        <v>6742</v>
      </c>
      <c r="K41" s="376">
        <f t="shared" si="48"/>
        <v>9689</v>
      </c>
      <c r="L41" s="97">
        <f t="shared" si="48"/>
        <v>152</v>
      </c>
      <c r="M41" s="97">
        <f t="shared" si="48"/>
        <v>11610</v>
      </c>
      <c r="N41" s="97">
        <f t="shared" si="48"/>
        <v>11762</v>
      </c>
      <c r="O41" s="97">
        <f t="shared" si="48"/>
        <v>225</v>
      </c>
      <c r="P41" s="97">
        <f t="shared" si="48"/>
        <v>8846</v>
      </c>
      <c r="Q41" s="97">
        <f t="shared" si="48"/>
        <v>9171</v>
      </c>
      <c r="R41" s="97">
        <f t="shared" si="48"/>
        <v>0</v>
      </c>
      <c r="S41" s="97">
        <f t="shared" si="48"/>
        <v>63</v>
      </c>
      <c r="T41" s="98">
        <f t="shared" si="48"/>
        <v>113</v>
      </c>
      <c r="U41" s="38" t="s">
        <v>159</v>
      </c>
      <c r="V41" s="37"/>
      <c r="W41" s="97">
        <f t="shared" ref="W41:X41" si="49">SUM(W37:W40)</f>
        <v>0</v>
      </c>
      <c r="X41" s="97">
        <f t="shared" si="49"/>
        <v>6898</v>
      </c>
      <c r="Y41" s="97">
        <f>SUM(Y37:Y40)</f>
        <v>6898</v>
      </c>
      <c r="Z41" s="97">
        <f t="shared" ref="Z41:AA41" si="50">SUM(Z37:Z40)</f>
        <v>0</v>
      </c>
      <c r="AA41" s="97">
        <f t="shared" si="50"/>
        <v>5808</v>
      </c>
      <c r="AB41" s="97">
        <f>SUM(AB37:AB40)</f>
        <v>5808</v>
      </c>
      <c r="AC41" s="97">
        <f t="shared" ref="AC41:AE41" si="51">SUM(AC37:AC40)</f>
        <v>0</v>
      </c>
      <c r="AD41" s="97">
        <f t="shared" si="51"/>
        <v>0</v>
      </c>
      <c r="AE41" s="97">
        <f t="shared" si="51"/>
        <v>0</v>
      </c>
      <c r="AF41" s="97">
        <f t="shared" ref="AF41:AJ41" si="52">SUM(AF37:AF40)</f>
        <v>0</v>
      </c>
      <c r="AG41" s="97">
        <f t="shared" si="52"/>
        <v>5895</v>
      </c>
      <c r="AH41" s="97">
        <f t="shared" si="52"/>
        <v>5895</v>
      </c>
      <c r="AI41" s="97">
        <f t="shared" si="52"/>
        <v>0</v>
      </c>
      <c r="AJ41" s="97">
        <f t="shared" si="52"/>
        <v>6583</v>
      </c>
      <c r="AK41" s="97">
        <f>SUM(AK37:AK40)</f>
        <v>6583</v>
      </c>
      <c r="AL41" s="97">
        <f t="shared" ref="AL41:AQ41" si="53">SUM(AL37:AL40)</f>
        <v>0</v>
      </c>
      <c r="AM41" s="97">
        <f t="shared" si="53"/>
        <v>5890</v>
      </c>
      <c r="AN41" s="97">
        <f t="shared" si="53"/>
        <v>5890</v>
      </c>
      <c r="AO41" s="97">
        <f t="shared" si="53"/>
        <v>0</v>
      </c>
      <c r="AP41" s="97">
        <f t="shared" si="53"/>
        <v>1949</v>
      </c>
      <c r="AQ41" s="98">
        <f t="shared" si="53"/>
        <v>1949</v>
      </c>
    </row>
    <row r="42" spans="1:46" hidden="1" x14ac:dyDescent="0.25">
      <c r="A42" s="35"/>
      <c r="B42" s="36"/>
      <c r="C42" s="95"/>
      <c r="D42" s="95">
        <f t="shared" ref="D42" ca="1" si="54">E42-C42:C43</f>
        <v>10181</v>
      </c>
      <c r="E42" s="95">
        <f t="shared" ca="1" si="14"/>
        <v>0</v>
      </c>
      <c r="F42" s="95"/>
      <c r="G42" s="95"/>
      <c r="H42" s="95"/>
      <c r="I42" s="375"/>
      <c r="J42" s="375"/>
      <c r="K42" s="375"/>
      <c r="L42" s="95"/>
      <c r="M42" s="95"/>
      <c r="N42" s="95"/>
      <c r="O42" s="95"/>
      <c r="P42" s="95"/>
      <c r="Q42" s="95"/>
      <c r="R42" s="95"/>
      <c r="S42" s="95"/>
      <c r="T42" s="96">
        <f t="shared" si="6"/>
        <v>0</v>
      </c>
      <c r="U42" s="35"/>
      <c r="V42" s="36"/>
      <c r="W42" s="95"/>
      <c r="X42" s="95"/>
      <c r="Y42" s="95">
        <f t="shared" si="15"/>
        <v>0</v>
      </c>
      <c r="Z42" s="95"/>
      <c r="AA42" s="95"/>
      <c r="AB42" s="95">
        <f t="shared" si="16"/>
        <v>0</v>
      </c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6">
        <f t="shared" si="17"/>
        <v>0</v>
      </c>
    </row>
    <row r="43" spans="1:46" x14ac:dyDescent="0.25">
      <c r="A43" s="46">
        <v>99</v>
      </c>
      <c r="B43" s="558" t="s">
        <v>160</v>
      </c>
      <c r="C43" s="558"/>
      <c r="D43" s="558"/>
      <c r="E43" s="558"/>
      <c r="F43" s="558"/>
      <c r="G43" s="558"/>
      <c r="H43" s="558"/>
      <c r="I43" s="558"/>
      <c r="J43" s="558"/>
      <c r="K43" s="558"/>
      <c r="L43" s="558"/>
      <c r="M43" s="558"/>
      <c r="N43" s="558"/>
      <c r="O43" s="558"/>
      <c r="P43" s="558"/>
      <c r="Q43" s="558"/>
      <c r="R43" s="558"/>
      <c r="S43" s="558"/>
      <c r="T43" s="559"/>
      <c r="U43" s="46">
        <v>5</v>
      </c>
      <c r="V43" s="558" t="s">
        <v>161</v>
      </c>
      <c r="W43" s="558"/>
      <c r="X43" s="558"/>
      <c r="Y43" s="558"/>
      <c r="Z43" s="558"/>
      <c r="AA43" s="558"/>
      <c r="AB43" s="558"/>
      <c r="AC43" s="558"/>
      <c r="AD43" s="558"/>
      <c r="AE43" s="558"/>
      <c r="AF43" s="558"/>
      <c r="AG43" s="558"/>
      <c r="AH43" s="558"/>
      <c r="AI43" s="558"/>
      <c r="AJ43" s="558"/>
      <c r="AK43" s="558"/>
      <c r="AL43" s="558"/>
      <c r="AM43" s="558"/>
      <c r="AN43" s="558"/>
      <c r="AO43" s="558"/>
      <c r="AP43" s="558"/>
      <c r="AQ43" s="559"/>
    </row>
    <row r="44" spans="1:46" x14ac:dyDescent="0.25">
      <c r="A44" s="35"/>
      <c r="B44" s="36" t="s">
        <v>162</v>
      </c>
      <c r="C44" s="95">
        <v>3562</v>
      </c>
      <c r="D44" s="95">
        <v>0</v>
      </c>
      <c r="E44" s="95">
        <f>C44+D44</f>
        <v>3562</v>
      </c>
      <c r="F44" s="95">
        <v>1843</v>
      </c>
      <c r="G44" s="95">
        <f t="shared" ref="G44:G46" si="55">H44-F44</f>
        <v>0</v>
      </c>
      <c r="H44" s="95">
        <v>1843</v>
      </c>
      <c r="I44" s="375">
        <v>3302</v>
      </c>
      <c r="J44" s="375">
        <f t="shared" ref="J44:J46" si="56">K44-I44</f>
        <v>0</v>
      </c>
      <c r="K44" s="375">
        <v>3302</v>
      </c>
      <c r="L44" s="95">
        <v>3299</v>
      </c>
      <c r="M44" s="131">
        <f t="shared" ref="M44:M46" si="57">N44-L44</f>
        <v>0</v>
      </c>
      <c r="N44" s="95">
        <v>3299</v>
      </c>
      <c r="O44" s="95">
        <f>3511+500</f>
        <v>4011</v>
      </c>
      <c r="P44" s="130">
        <f t="shared" ref="P44:P46" si="58">Q44-O44</f>
        <v>0</v>
      </c>
      <c r="Q44" s="95">
        <v>4011</v>
      </c>
      <c r="R44" s="95">
        <v>3581</v>
      </c>
      <c r="S44" s="131">
        <f t="shared" ref="S44:S46" si="59">T44-R44</f>
        <v>0</v>
      </c>
      <c r="T44" s="96">
        <v>3581</v>
      </c>
      <c r="U44" s="35"/>
      <c r="V44" s="36" t="s">
        <v>163</v>
      </c>
      <c r="W44" s="95">
        <v>0</v>
      </c>
      <c r="X44" s="95">
        <v>0</v>
      </c>
      <c r="Y44" s="95">
        <v>0</v>
      </c>
      <c r="Z44" s="95">
        <v>7701</v>
      </c>
      <c r="AA44" s="95">
        <v>0</v>
      </c>
      <c r="AB44" s="95">
        <v>7701</v>
      </c>
      <c r="AC44" s="95"/>
      <c r="AD44" s="95"/>
      <c r="AE44" s="95"/>
      <c r="AF44" s="95"/>
      <c r="AG44" s="95"/>
      <c r="AH44" s="95"/>
      <c r="AI44" s="95"/>
      <c r="AJ44" s="95">
        <v>362</v>
      </c>
      <c r="AK44" s="95">
        <v>362</v>
      </c>
      <c r="AL44" s="95"/>
      <c r="AM44" s="95"/>
      <c r="AN44" s="95"/>
      <c r="AO44" s="95"/>
      <c r="AP44" s="95"/>
      <c r="AQ44" s="96"/>
    </row>
    <row r="45" spans="1:46" x14ac:dyDescent="0.25">
      <c r="A45" s="35"/>
      <c r="B45" s="36" t="s">
        <v>124</v>
      </c>
      <c r="C45" s="95">
        <v>0</v>
      </c>
      <c r="D45" s="95">
        <v>4971</v>
      </c>
      <c r="E45" s="95">
        <f>C45+D45</f>
        <v>4971</v>
      </c>
      <c r="F45" s="95">
        <v>0</v>
      </c>
      <c r="G45" s="95">
        <f t="shared" si="55"/>
        <v>2651</v>
      </c>
      <c r="H45" s="95">
        <v>2651</v>
      </c>
      <c r="I45" s="375">
        <v>0</v>
      </c>
      <c r="J45" s="375">
        <v>5256</v>
      </c>
      <c r="K45" s="375">
        <v>5256</v>
      </c>
      <c r="L45" s="95"/>
      <c r="M45" s="131">
        <f t="shared" si="57"/>
        <v>5000</v>
      </c>
      <c r="N45" s="95">
        <v>5000</v>
      </c>
      <c r="O45" s="95">
        <v>0</v>
      </c>
      <c r="P45" s="130">
        <f t="shared" si="58"/>
        <v>5284</v>
      </c>
      <c r="Q45" s="95">
        <v>5284</v>
      </c>
      <c r="R45" s="95">
        <v>0</v>
      </c>
      <c r="S45" s="131">
        <f t="shared" si="59"/>
        <v>5284</v>
      </c>
      <c r="T45" s="96">
        <v>5284</v>
      </c>
      <c r="U45" s="35"/>
      <c r="V45" s="36" t="s">
        <v>70</v>
      </c>
      <c r="W45" s="95">
        <v>0</v>
      </c>
      <c r="X45" s="95">
        <v>0</v>
      </c>
      <c r="Y45" s="95">
        <v>0</v>
      </c>
      <c r="Z45" s="95">
        <v>0</v>
      </c>
      <c r="AA45" s="95">
        <v>0</v>
      </c>
      <c r="AB45" s="95">
        <v>0</v>
      </c>
      <c r="AC45" s="95">
        <v>0</v>
      </c>
      <c r="AD45" s="95">
        <v>0</v>
      </c>
      <c r="AE45" s="95">
        <v>0</v>
      </c>
      <c r="AF45" s="95">
        <v>0</v>
      </c>
      <c r="AG45" s="95">
        <v>0</v>
      </c>
      <c r="AH45" s="95">
        <f t="shared" ref="AH45" si="60">SUM(AF45:AG45)</f>
        <v>0</v>
      </c>
      <c r="AI45" s="95">
        <f t="shared" ref="AI45" si="61">AK45-AJ45</f>
        <v>0</v>
      </c>
      <c r="AJ45" s="95"/>
      <c r="AK45" s="95">
        <v>0</v>
      </c>
      <c r="AL45" s="95">
        <f t="shared" ref="AL45" si="62">AN45-AM45</f>
        <v>0</v>
      </c>
      <c r="AM45" s="95">
        <v>0</v>
      </c>
      <c r="AN45" s="95">
        <v>0</v>
      </c>
      <c r="AO45" s="95">
        <f t="shared" ref="AO45" si="63">AQ45-AP45</f>
        <v>0</v>
      </c>
      <c r="AP45" s="95">
        <v>0</v>
      </c>
      <c r="AQ45" s="96">
        <v>0</v>
      </c>
      <c r="AT45" s="367"/>
    </row>
    <row r="46" spans="1:46" x14ac:dyDescent="0.25">
      <c r="A46" s="35"/>
      <c r="B46" s="36" t="s">
        <v>164</v>
      </c>
      <c r="C46" s="95">
        <v>0</v>
      </c>
      <c r="D46" s="95">
        <v>13947</v>
      </c>
      <c r="E46" s="95">
        <f>C46+D46</f>
        <v>13947</v>
      </c>
      <c r="F46" s="95">
        <v>0</v>
      </c>
      <c r="G46" s="95">
        <f t="shared" si="55"/>
        <v>5783</v>
      </c>
      <c r="H46" s="95">
        <f>10277-2651-1843</f>
        <v>5783</v>
      </c>
      <c r="I46" s="375">
        <f t="shared" ref="I46" si="64">F46*2</f>
        <v>0</v>
      </c>
      <c r="J46" s="375">
        <f t="shared" si="56"/>
        <v>1804</v>
      </c>
      <c r="K46" s="375">
        <f>10362-5256-3302</f>
        <v>1804</v>
      </c>
      <c r="L46" s="95"/>
      <c r="M46" s="131">
        <f t="shared" si="57"/>
        <v>493</v>
      </c>
      <c r="N46" s="95">
        <f>8792-8299</f>
        <v>493</v>
      </c>
      <c r="O46" s="95">
        <v>0</v>
      </c>
      <c r="P46" s="130">
        <f t="shared" si="58"/>
        <v>1870</v>
      </c>
      <c r="Q46" s="95">
        <f>11165-4011-5284</f>
        <v>1870</v>
      </c>
      <c r="R46" s="95">
        <v>0</v>
      </c>
      <c r="S46" s="131">
        <f t="shared" si="59"/>
        <v>1870</v>
      </c>
      <c r="T46" s="96">
        <f>10735-3581-5284</f>
        <v>1870</v>
      </c>
      <c r="U46" s="35"/>
      <c r="V46" s="36" t="s">
        <v>165</v>
      </c>
      <c r="W46" s="95">
        <v>4201</v>
      </c>
      <c r="X46" s="95">
        <f>Y46-W46</f>
        <v>1826</v>
      </c>
      <c r="Y46" s="95">
        <v>6027</v>
      </c>
      <c r="Z46" s="95">
        <v>4598</v>
      </c>
      <c r="AA46" s="95">
        <v>3112</v>
      </c>
      <c r="AB46" s="95">
        <f>Z46+AA46</f>
        <v>7710</v>
      </c>
      <c r="AC46" s="95"/>
      <c r="AD46" s="95"/>
      <c r="AE46" s="95"/>
      <c r="AF46" s="95">
        <v>0</v>
      </c>
      <c r="AG46" s="95">
        <v>1470</v>
      </c>
      <c r="AH46" s="95">
        <v>1470</v>
      </c>
      <c r="AI46" s="95"/>
      <c r="AJ46" s="95"/>
      <c r="AK46" s="95"/>
      <c r="AL46" s="95"/>
      <c r="AM46" s="95">
        <v>0</v>
      </c>
      <c r="AN46" s="95">
        <v>260</v>
      </c>
      <c r="AO46" s="95">
        <v>0</v>
      </c>
      <c r="AP46" s="95">
        <v>260</v>
      </c>
      <c r="AQ46" s="96">
        <v>260</v>
      </c>
    </row>
    <row r="47" spans="1:46" s="48" customFormat="1" x14ac:dyDescent="0.25">
      <c r="A47" s="567" t="s">
        <v>166</v>
      </c>
      <c r="B47" s="558"/>
      <c r="C47" s="97">
        <f>SUM(C44:C46)</f>
        <v>3562</v>
      </c>
      <c r="D47" s="97">
        <f t="shared" ref="D47:T47" si="65">SUM(D44:D46)</f>
        <v>18918</v>
      </c>
      <c r="E47" s="97">
        <f t="shared" si="65"/>
        <v>22480</v>
      </c>
      <c r="F47" s="97">
        <f t="shared" si="65"/>
        <v>1843</v>
      </c>
      <c r="G47" s="97">
        <f t="shared" si="65"/>
        <v>8434</v>
      </c>
      <c r="H47" s="97">
        <f t="shared" si="65"/>
        <v>10277</v>
      </c>
      <c r="I47" s="376">
        <f t="shared" si="65"/>
        <v>3302</v>
      </c>
      <c r="J47" s="376">
        <f t="shared" si="65"/>
        <v>7060</v>
      </c>
      <c r="K47" s="376">
        <f t="shared" si="65"/>
        <v>10362</v>
      </c>
      <c r="L47" s="97">
        <f t="shared" si="65"/>
        <v>3299</v>
      </c>
      <c r="M47" s="97">
        <f t="shared" si="65"/>
        <v>5493</v>
      </c>
      <c r="N47" s="97">
        <f>SUM(N44:N46)</f>
        <v>8792</v>
      </c>
      <c r="O47" s="97">
        <f t="shared" si="65"/>
        <v>4011</v>
      </c>
      <c r="P47" s="97">
        <f t="shared" si="65"/>
        <v>7154</v>
      </c>
      <c r="Q47" s="97">
        <f t="shared" si="65"/>
        <v>11165</v>
      </c>
      <c r="R47" s="97">
        <f t="shared" si="65"/>
        <v>3581</v>
      </c>
      <c r="S47" s="97">
        <f t="shared" si="65"/>
        <v>7154</v>
      </c>
      <c r="T47" s="98">
        <f t="shared" si="65"/>
        <v>10735</v>
      </c>
      <c r="U47" s="38" t="s">
        <v>167</v>
      </c>
      <c r="V47" s="37"/>
      <c r="W47" s="97">
        <f t="shared" ref="W47:X47" si="66">SUM(W44:W46)</f>
        <v>4201</v>
      </c>
      <c r="X47" s="97">
        <f t="shared" si="66"/>
        <v>1826</v>
      </c>
      <c r="Y47" s="97">
        <f>SUM(Y44:Y46)</f>
        <v>6027</v>
      </c>
      <c r="Z47" s="97">
        <f t="shared" ref="Z47:AA47" si="67">SUM(Z44:Z46)</f>
        <v>12299</v>
      </c>
      <c r="AA47" s="97">
        <f t="shared" si="67"/>
        <v>3112</v>
      </c>
      <c r="AB47" s="97">
        <f>SUM(AB44:AB46)</f>
        <v>15411</v>
      </c>
      <c r="AC47" s="97">
        <f t="shared" ref="AC47:AE47" si="68">SUM(AC44:AC46)</f>
        <v>0</v>
      </c>
      <c r="AD47" s="97">
        <f t="shared" si="68"/>
        <v>0</v>
      </c>
      <c r="AE47" s="97">
        <f t="shared" si="68"/>
        <v>0</v>
      </c>
      <c r="AF47" s="97">
        <f t="shared" ref="AF47:AJ47" si="69">SUM(AF44:AF46)</f>
        <v>0</v>
      </c>
      <c r="AG47" s="97">
        <f t="shared" si="69"/>
        <v>1470</v>
      </c>
      <c r="AH47" s="97">
        <f t="shared" si="69"/>
        <v>1470</v>
      </c>
      <c r="AI47" s="97">
        <f t="shared" si="69"/>
        <v>0</v>
      </c>
      <c r="AJ47" s="97">
        <f t="shared" si="69"/>
        <v>362</v>
      </c>
      <c r="AK47" s="97">
        <f>SUM(AK44:AK46)</f>
        <v>362</v>
      </c>
      <c r="AL47" s="97">
        <f t="shared" ref="AL47:AQ47" si="70">SUM(AL44:AL46)</f>
        <v>0</v>
      </c>
      <c r="AM47" s="97">
        <f t="shared" si="70"/>
        <v>0</v>
      </c>
      <c r="AN47" s="97">
        <f t="shared" si="70"/>
        <v>260</v>
      </c>
      <c r="AO47" s="97">
        <f t="shared" si="70"/>
        <v>0</v>
      </c>
      <c r="AP47" s="97">
        <f t="shared" si="70"/>
        <v>260</v>
      </c>
      <c r="AQ47" s="98">
        <f t="shared" si="70"/>
        <v>260</v>
      </c>
    </row>
    <row r="48" spans="1:46" s="48" customFormat="1" ht="15.75" thickBot="1" x14ac:dyDescent="0.3">
      <c r="A48" s="45" t="s">
        <v>168</v>
      </c>
      <c r="B48" s="44"/>
      <c r="C48" s="99">
        <f t="shared" ref="C48:D48" si="71">C47+C41+C34+C24+C13</f>
        <v>21389</v>
      </c>
      <c r="D48" s="99">
        <f t="shared" si="71"/>
        <v>69007</v>
      </c>
      <c r="E48" s="99">
        <f>E47+E41+E34+E24+E13</f>
        <v>90396</v>
      </c>
      <c r="F48" s="99">
        <f t="shared" ref="F48:S48" si="72">F47+F41+F34+F24+F13</f>
        <v>11466</v>
      </c>
      <c r="G48" s="99">
        <f t="shared" si="72"/>
        <v>38987</v>
      </c>
      <c r="H48" s="99">
        <f t="shared" si="72"/>
        <v>50453</v>
      </c>
      <c r="I48" s="377">
        <f t="shared" si="72"/>
        <v>23342</v>
      </c>
      <c r="J48" s="377">
        <f t="shared" si="72"/>
        <v>49877</v>
      </c>
      <c r="K48" s="377">
        <f>K47+K41+K34+K24+K13</f>
        <v>75810</v>
      </c>
      <c r="L48" s="99">
        <f>L47+L41+L34+L24+L13</f>
        <v>22747</v>
      </c>
      <c r="M48" s="99">
        <f t="shared" si="72"/>
        <v>43650</v>
      </c>
      <c r="N48" s="99">
        <f>N47+N41+N34+N24+N13</f>
        <v>66397</v>
      </c>
      <c r="O48" s="99">
        <f>O47+O41+O34+O24+O13-1</f>
        <v>23613</v>
      </c>
      <c r="P48" s="99">
        <f t="shared" si="72"/>
        <v>51932</v>
      </c>
      <c r="Q48" s="99">
        <f>Q47+Q41+Q34+Q24+Q13+1</f>
        <v>75647</v>
      </c>
      <c r="R48" s="99">
        <f t="shared" si="72"/>
        <v>22800</v>
      </c>
      <c r="S48" s="99">
        <f t="shared" si="72"/>
        <v>42433</v>
      </c>
      <c r="T48" s="100">
        <f>T47+T41+T34+T24+T13+2</f>
        <v>65285</v>
      </c>
      <c r="U48" s="45" t="s">
        <v>169</v>
      </c>
      <c r="V48" s="44"/>
      <c r="W48" s="99">
        <f>W41+W47+W34+W24+W13</f>
        <v>12957</v>
      </c>
      <c r="X48" s="99">
        <f t="shared" ref="X48:AA48" si="73">X41+X47+X34+X24+X13</f>
        <v>24931</v>
      </c>
      <c r="Y48" s="99">
        <f t="shared" si="73"/>
        <v>59037</v>
      </c>
      <c r="Z48" s="99">
        <f t="shared" si="73"/>
        <v>50532</v>
      </c>
      <c r="AA48" s="99">
        <f t="shared" si="73"/>
        <v>30829</v>
      </c>
      <c r="AB48" s="99">
        <f>AB41+AB47+AB34+AB24+AB13</f>
        <v>81361</v>
      </c>
      <c r="AC48" s="99">
        <f t="shared" ref="AC48:AE48" si="74">AC41+AC47+AC34+AC24+AC13</f>
        <v>0</v>
      </c>
      <c r="AD48" s="99">
        <f t="shared" si="74"/>
        <v>0</v>
      </c>
      <c r="AE48" s="99">
        <f t="shared" si="74"/>
        <v>9644</v>
      </c>
      <c r="AF48" s="99">
        <f t="shared" ref="AF48:AP48" si="75">AF41+AF47+AF34+AF24+AF13</f>
        <v>39103</v>
      </c>
      <c r="AG48" s="99">
        <f t="shared" si="75"/>
        <v>30345</v>
      </c>
      <c r="AH48" s="99">
        <f t="shared" si="75"/>
        <v>69448</v>
      </c>
      <c r="AI48" s="99">
        <f t="shared" si="75"/>
        <v>27890</v>
      </c>
      <c r="AJ48" s="99">
        <f t="shared" si="75"/>
        <v>26122</v>
      </c>
      <c r="AK48" s="99">
        <f>AK41+AK47+AK34+AK24+AK13</f>
        <v>54012</v>
      </c>
      <c r="AL48" s="99">
        <f t="shared" si="75"/>
        <v>37526</v>
      </c>
      <c r="AM48" s="99">
        <f t="shared" si="75"/>
        <v>31960</v>
      </c>
      <c r="AN48" s="99">
        <f>AN41+AN47+AN34+AN24+AN13</f>
        <v>69746</v>
      </c>
      <c r="AO48" s="99">
        <f t="shared" si="75"/>
        <v>36030</v>
      </c>
      <c r="AP48" s="99">
        <f t="shared" si="75"/>
        <v>29255</v>
      </c>
      <c r="AQ48" s="100">
        <f>AQ41+AQ47+AQ34+AQ24+AQ13</f>
        <v>65285</v>
      </c>
    </row>
    <row r="49" spans="1:45" x14ac:dyDescent="0.25">
      <c r="A49" s="31"/>
      <c r="B49" s="31"/>
      <c r="C49" s="331"/>
      <c r="D49" s="331"/>
      <c r="E49" s="331"/>
      <c r="F49" s="331"/>
      <c r="G49" s="331"/>
      <c r="H49" s="331"/>
      <c r="I49" s="379">
        <f>'טבלה 1 - התקציב הרגיל'!H28+'טבלה 1 - התקציב הרגיל'!H32+'טבלה 1 - התקציב הרגיל'!H35</f>
        <v>23344</v>
      </c>
      <c r="J49" s="378"/>
      <c r="K49" s="379">
        <f>'טבלה 1 - התקציב הרגיל'!H48</f>
        <v>75810</v>
      </c>
      <c r="L49" s="369">
        <f>'טבלה 1 - התקציב הרגיל'!G28+'טבלה 1 - התקציב הרגיל'!G32+'טבלה 1 - התקציב הרגיל'!G35</f>
        <v>20815</v>
      </c>
      <c r="M49" s="370"/>
      <c r="N49" s="369">
        <f>'טבלה 1 - התקציב הרגיל'!G48</f>
        <v>65362</v>
      </c>
      <c r="O49" s="369">
        <f>'טבלה 1 - התקציב הרגיל'!K28+'טבלה 1 - התקציב הרגיל'!K32+'טבלה 1 - התקציב הרגיל'!K35</f>
        <v>23616</v>
      </c>
      <c r="P49" s="370"/>
      <c r="Q49" s="369">
        <f>'טבלה 1 - התקציב הרגיל'!K48</f>
        <v>75647</v>
      </c>
      <c r="R49" s="369">
        <f>'טבלה 1 - התקציב הרגיל'!M28+'טבלה 1 - התקציב הרגיל'!M32+'טבלה 1 - התקציב הרגיל'!M35</f>
        <v>20445</v>
      </c>
      <c r="S49" s="369"/>
      <c r="T49" s="369">
        <f>65393-65285</f>
        <v>108</v>
      </c>
      <c r="U49" s="31"/>
      <c r="V49" s="31"/>
      <c r="W49" s="31"/>
      <c r="X49" s="31"/>
      <c r="Y49" s="31"/>
      <c r="Z49" s="331"/>
      <c r="AA49" s="331"/>
      <c r="AB49" s="331"/>
      <c r="AC49" s="331"/>
      <c r="AD49" s="331"/>
      <c r="AE49" s="331"/>
      <c r="AF49" s="331"/>
      <c r="AG49" s="331"/>
      <c r="AH49" s="371">
        <f>'טבלה 1 - התקציב הרגיל'!H25</f>
        <v>68904</v>
      </c>
      <c r="AI49" s="331"/>
      <c r="AJ49" s="331"/>
      <c r="AK49" s="371">
        <f>'טבלה 1 - התקציב הרגיל'!G25</f>
        <v>54011</v>
      </c>
      <c r="AL49" s="331"/>
      <c r="AM49" s="331"/>
      <c r="AN49" s="371">
        <f>'טבלה 1 - התקציב הרגיל'!K25</f>
        <v>69746</v>
      </c>
      <c r="AO49" s="331"/>
      <c r="AP49" s="331"/>
      <c r="AQ49" s="371">
        <f>'טבלה 1 - התקציב הרגיל'!M25+1</f>
        <v>65286</v>
      </c>
      <c r="AS49" s="333"/>
    </row>
    <row r="50" spans="1:45" x14ac:dyDescent="0.25">
      <c r="A50" s="31"/>
      <c r="B50" s="31"/>
      <c r="C50" s="31"/>
      <c r="D50" s="31"/>
      <c r="E50" s="31"/>
      <c r="F50" s="31"/>
      <c r="G50" s="31"/>
      <c r="H50" s="31"/>
      <c r="I50" s="380"/>
      <c r="J50" s="380"/>
      <c r="K50" s="380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31"/>
      <c r="AK50" s="331"/>
      <c r="AL50" s="331"/>
      <c r="AM50" s="331"/>
      <c r="AN50" s="331"/>
      <c r="AO50" s="331"/>
      <c r="AP50" s="331"/>
      <c r="AQ50" s="331"/>
      <c r="AR50" s="333"/>
      <c r="AS50" s="333"/>
    </row>
    <row r="51" spans="1:45" x14ac:dyDescent="0.25">
      <c r="A51" s="31"/>
      <c r="B51" s="31"/>
      <c r="C51" s="31"/>
      <c r="D51" s="31"/>
      <c r="E51" s="31"/>
      <c r="F51" s="31"/>
      <c r="G51" s="31"/>
      <c r="H51" s="31"/>
      <c r="I51" s="380"/>
      <c r="J51" s="380"/>
      <c r="K51" s="380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138"/>
      <c r="AL51" s="138"/>
      <c r="AM51" s="138"/>
      <c r="AN51" s="138"/>
      <c r="AO51" s="138"/>
      <c r="AP51" s="138"/>
      <c r="AQ51" s="138"/>
    </row>
    <row r="52" spans="1:45" x14ac:dyDescent="0.25">
      <c r="A52" s="31"/>
      <c r="B52" s="31"/>
      <c r="C52" s="31"/>
      <c r="D52" s="31"/>
      <c r="E52" s="31"/>
      <c r="F52" s="31"/>
      <c r="G52" s="31"/>
      <c r="H52" s="31"/>
      <c r="I52" s="380"/>
      <c r="J52" s="380"/>
      <c r="K52" s="380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</row>
    <row r="53" spans="1:45" x14ac:dyDescent="0.25">
      <c r="A53" s="31"/>
      <c r="B53" s="31"/>
      <c r="C53" s="31"/>
      <c r="D53" s="31"/>
      <c r="E53" s="31"/>
      <c r="F53" s="31"/>
      <c r="G53" s="31"/>
      <c r="H53" s="31"/>
      <c r="I53" s="380"/>
      <c r="J53" s="380"/>
      <c r="K53" s="380"/>
      <c r="L53" s="31"/>
      <c r="M53" s="31"/>
      <c r="N53" s="31"/>
      <c r="O53" s="31"/>
      <c r="P53" s="31"/>
      <c r="Q53" s="138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</row>
    <row r="54" spans="1:45" x14ac:dyDescent="0.25">
      <c r="A54" s="31"/>
      <c r="B54" s="31"/>
      <c r="C54" s="31"/>
      <c r="D54" s="31"/>
      <c r="E54" s="31"/>
      <c r="F54" s="31"/>
      <c r="G54" s="31"/>
      <c r="H54" s="31"/>
      <c r="I54" s="380"/>
      <c r="J54" s="380"/>
      <c r="K54" s="380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</row>
    <row r="55" spans="1:45" x14ac:dyDescent="0.25">
      <c r="A55" s="31"/>
      <c r="B55" s="31"/>
      <c r="C55" s="31"/>
      <c r="D55" s="31"/>
      <c r="E55" s="31"/>
      <c r="F55" s="31"/>
      <c r="G55" s="31"/>
      <c r="H55" s="31"/>
      <c r="I55" s="380"/>
      <c r="J55" s="380"/>
      <c r="K55" s="380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</row>
    <row r="56" spans="1:45" x14ac:dyDescent="0.25">
      <c r="A56" s="31"/>
      <c r="B56" s="31"/>
      <c r="C56" s="31"/>
      <c r="D56" s="31"/>
      <c r="E56" s="31"/>
      <c r="F56" s="31"/>
      <c r="G56" s="31"/>
      <c r="H56" s="31"/>
      <c r="I56" s="380"/>
      <c r="J56" s="380"/>
      <c r="K56" s="380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</row>
    <row r="57" spans="1:45" x14ac:dyDescent="0.25">
      <c r="A57" s="31"/>
      <c r="B57" s="31"/>
      <c r="C57" s="31"/>
      <c r="D57" s="31"/>
      <c r="E57" s="31"/>
      <c r="F57" s="31"/>
      <c r="G57" s="31"/>
      <c r="H57" s="31"/>
      <c r="I57" s="380"/>
      <c r="J57" s="380"/>
      <c r="K57" s="380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</row>
    <row r="58" spans="1:45" x14ac:dyDescent="0.25">
      <c r="A58" s="31"/>
      <c r="B58" s="31"/>
      <c r="C58" s="31"/>
      <c r="D58" s="31"/>
      <c r="E58" s="31"/>
      <c r="F58" s="31"/>
      <c r="G58" s="31"/>
      <c r="H58" s="31"/>
      <c r="I58" s="380"/>
      <c r="J58" s="380"/>
      <c r="K58" s="380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</row>
  </sheetData>
  <mergeCells count="44">
    <mergeCell ref="AI3:AK3"/>
    <mergeCell ref="P7:P8"/>
    <mergeCell ref="Q7:Q8"/>
    <mergeCell ref="S7:S8"/>
    <mergeCell ref="M7:M8"/>
    <mergeCell ref="B6:T6"/>
    <mergeCell ref="V6:AQ6"/>
    <mergeCell ref="A41:B41"/>
    <mergeCell ref="A47:B47"/>
    <mergeCell ref="A34:B34"/>
    <mergeCell ref="A24:B24"/>
    <mergeCell ref="A13:B13"/>
    <mergeCell ref="B15:T15"/>
    <mergeCell ref="B26:T26"/>
    <mergeCell ref="B36:T36"/>
    <mergeCell ref="B43:T43"/>
    <mergeCell ref="V26:AQ26"/>
    <mergeCell ref="V36:AQ36"/>
    <mergeCell ref="V43:AQ43"/>
    <mergeCell ref="E7:E8"/>
    <mergeCell ref="D7:D8"/>
    <mergeCell ref="N7:N8"/>
    <mergeCell ref="V15:AQ15"/>
    <mergeCell ref="T7:T8"/>
    <mergeCell ref="H7:H8"/>
    <mergeCell ref="G7:G8"/>
    <mergeCell ref="J7:J8"/>
    <mergeCell ref="K7:K8"/>
    <mergeCell ref="A1:T1"/>
    <mergeCell ref="W3:Y3"/>
    <mergeCell ref="AF3:AH3"/>
    <mergeCell ref="L3:N3"/>
    <mergeCell ref="O3:Q3"/>
    <mergeCell ref="V1:AQ1"/>
    <mergeCell ref="A2:T2"/>
    <mergeCell ref="U2:AQ2"/>
    <mergeCell ref="F3:H3"/>
    <mergeCell ref="I3:K3"/>
    <mergeCell ref="AC3:AE3"/>
    <mergeCell ref="Z3:AB3"/>
    <mergeCell ref="AO3:AQ3"/>
    <mergeCell ref="C3:E3"/>
    <mergeCell ref="R3:T3"/>
    <mergeCell ref="AL3:AN3"/>
  </mergeCells>
  <phoneticPr fontId="5" type="noConversion"/>
  <pageMargins left="0.23622047244094491" right="0.15748031496062992" top="0.22500000000000001" bottom="0.74803149606299213" header="0.31496062992125984" footer="0.31496062992125984"/>
  <pageSetup paperSize="9" scale="64" orientation="landscape" r:id="rId1"/>
  <headerFooter alignWithMargins="0">
    <oddFooter>&amp;L&amp;"David,מודגש"&amp;12&amp;P</oddFooter>
  </headerFooter>
  <colBreaks count="1" manualBreakCount="1">
    <brk id="2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"/>
  <sheetViews>
    <sheetView showGridLines="0" rightToLeft="1" view="pageLayout" zoomScale="80" zoomScaleNormal="100" zoomScalePageLayoutView="80" workbookViewId="0">
      <selection activeCell="H5" sqref="H5"/>
    </sheetView>
  </sheetViews>
  <sheetFormatPr defaultRowHeight="15.75" x14ac:dyDescent="0.25"/>
  <cols>
    <col min="1" max="1" width="20.42578125" style="49" customWidth="1"/>
    <col min="2" max="2" width="9.140625" style="49"/>
    <col min="3" max="3" width="15" style="49" customWidth="1"/>
    <col min="4" max="4" width="11.42578125" style="49" customWidth="1"/>
    <col min="5" max="6" width="9.140625" style="49"/>
    <col min="7" max="7" width="14.42578125" style="49" customWidth="1"/>
    <col min="8" max="8" width="20.28515625" style="49" customWidth="1"/>
    <col min="9" max="9" width="10.5703125" style="49" customWidth="1"/>
    <col min="10" max="11" width="11.28515625" style="49" customWidth="1"/>
    <col min="12" max="12" width="12.140625" style="49" bestFit="1" customWidth="1"/>
    <col min="13" max="13" width="11.28515625" style="49" customWidth="1"/>
    <col min="14" max="14" width="9.140625" style="49"/>
    <col min="15" max="15" width="11.85546875" style="49" customWidth="1"/>
    <col min="16" max="16" width="11" style="49" customWidth="1"/>
    <col min="17" max="16384" width="9.140625" style="49"/>
  </cols>
  <sheetData>
    <row r="1" spans="1:19" x14ac:dyDescent="0.25">
      <c r="A1" s="536" t="s">
        <v>170</v>
      </c>
      <c r="B1" s="536"/>
      <c r="C1" s="536"/>
      <c r="D1" s="536"/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  <c r="Q1" s="25"/>
      <c r="R1" s="25"/>
      <c r="S1" s="25"/>
    </row>
    <row r="2" spans="1:19" ht="20.25" customHeight="1" x14ac:dyDescent="0.25">
      <c r="A2" s="537" t="str">
        <f>'[1]נספח 1 - גרעון מצטבר'!A2:F2</f>
        <v>מועצה מקומית עוספייה</v>
      </c>
      <c r="B2" s="537"/>
      <c r="C2" s="537"/>
      <c r="D2" s="537"/>
      <c r="E2" s="537"/>
      <c r="F2" s="537"/>
      <c r="G2" s="537"/>
      <c r="H2" s="537"/>
      <c r="I2" s="537"/>
      <c r="J2" s="537"/>
      <c r="K2" s="537"/>
      <c r="L2" s="537"/>
      <c r="M2" s="537"/>
      <c r="N2" s="537"/>
      <c r="O2" s="537"/>
      <c r="P2" s="537"/>
      <c r="Q2" s="25"/>
      <c r="R2" s="25"/>
      <c r="S2" s="25"/>
    </row>
    <row r="3" spans="1:19" ht="63" x14ac:dyDescent="0.25">
      <c r="A3" s="328" t="s">
        <v>171</v>
      </c>
      <c r="B3" s="328" t="s">
        <v>107</v>
      </c>
      <c r="C3" s="328" t="s">
        <v>4</v>
      </c>
      <c r="D3" s="328" t="s">
        <v>111</v>
      </c>
      <c r="E3" s="328" t="s">
        <v>172</v>
      </c>
      <c r="F3" s="328" t="s">
        <v>173</v>
      </c>
      <c r="G3" s="328" t="s">
        <v>6</v>
      </c>
      <c r="H3" s="328" t="s">
        <v>8</v>
      </c>
      <c r="I3" s="328" t="s">
        <v>174</v>
      </c>
      <c r="J3" s="328" t="s">
        <v>173</v>
      </c>
      <c r="K3" s="328" t="s">
        <v>109</v>
      </c>
      <c r="L3" s="328" t="s">
        <v>175</v>
      </c>
      <c r="M3" s="328" t="s">
        <v>173</v>
      </c>
      <c r="N3" s="328" t="s">
        <v>110</v>
      </c>
      <c r="O3" s="328" t="s">
        <v>176</v>
      </c>
      <c r="P3" s="328" t="s">
        <v>173</v>
      </c>
      <c r="Q3" s="25"/>
      <c r="R3" s="25"/>
      <c r="S3" s="25"/>
    </row>
    <row r="4" spans="1:19" x14ac:dyDescent="0.25">
      <c r="A4" s="573" t="s">
        <v>36</v>
      </c>
      <c r="B4" s="574"/>
      <c r="C4" s="574"/>
      <c r="D4" s="574"/>
      <c r="E4" s="574"/>
      <c r="F4" s="574"/>
      <c r="G4" s="574"/>
      <c r="H4" s="574"/>
      <c r="I4" s="574"/>
      <c r="J4" s="574"/>
      <c r="K4" s="574"/>
      <c r="L4" s="574"/>
      <c r="M4" s="574"/>
      <c r="N4" s="574"/>
      <c r="O4" s="574"/>
      <c r="P4" s="575"/>
      <c r="Q4" s="25"/>
      <c r="R4" s="25"/>
      <c r="S4" s="25"/>
    </row>
    <row r="5" spans="1:19" x14ac:dyDescent="0.25">
      <c r="A5" s="365" t="s">
        <v>986</v>
      </c>
      <c r="B5" s="366" t="e">
        <f>'טבלה 1 - התקציב הרגיל'!#REF!</f>
        <v>#REF!</v>
      </c>
      <c r="C5" s="366">
        <f>'טבלה 1 - התקציב הרגיל'!B28</f>
        <v>10395</v>
      </c>
      <c r="D5" s="366">
        <f>'טבלה 1 - התקציב הרגיל'!C28</f>
        <v>9803</v>
      </c>
      <c r="E5" s="366" t="e">
        <f>B5-D5</f>
        <v>#REF!</v>
      </c>
      <c r="F5" s="366"/>
      <c r="G5" s="366">
        <f>'טבלה 1 - התקציב הרגיל'!G28</f>
        <v>10395</v>
      </c>
      <c r="H5" s="366">
        <f>'טבלה 1 - התקציב הרגיל'!H28</f>
        <v>9506</v>
      </c>
      <c r="I5" s="366">
        <f>D5-G5</f>
        <v>-592</v>
      </c>
      <c r="J5" s="366"/>
      <c r="K5" s="366">
        <f>'טבלה 1 - התקציב הרגיל'!K28</f>
        <v>10481</v>
      </c>
      <c r="L5" s="366">
        <f>G5-K5</f>
        <v>-86</v>
      </c>
      <c r="M5" s="366"/>
      <c r="N5" s="366">
        <f>'טבלה 1 - התקציב הרגיל'!M28</f>
        <v>10116</v>
      </c>
      <c r="O5" s="366">
        <f>K5-N5</f>
        <v>365</v>
      </c>
      <c r="P5" s="366"/>
      <c r="Q5" s="25"/>
      <c r="R5" s="25"/>
      <c r="S5" s="25"/>
    </row>
    <row r="6" spans="1:19" x14ac:dyDescent="0.25">
      <c r="A6" s="363" t="s">
        <v>177</v>
      </c>
      <c r="B6" s="364"/>
      <c r="C6" s="364"/>
      <c r="D6" s="364"/>
      <c r="E6" s="364"/>
      <c r="F6" s="364"/>
      <c r="G6" s="364"/>
      <c r="H6" s="364"/>
      <c r="I6" s="364"/>
      <c r="J6" s="364"/>
      <c r="K6" s="364"/>
      <c r="L6" s="364"/>
      <c r="M6" s="364"/>
      <c r="N6" s="364"/>
      <c r="O6" s="364"/>
      <c r="P6" s="364"/>
      <c r="Q6" s="25"/>
      <c r="R6" s="25"/>
      <c r="S6" s="25"/>
    </row>
    <row r="7" spans="1:19" x14ac:dyDescent="0.25">
      <c r="A7" s="363" t="s">
        <v>178</v>
      </c>
      <c r="B7" s="364"/>
      <c r="C7" s="364"/>
      <c r="D7" s="364"/>
      <c r="E7" s="364"/>
      <c r="F7" s="364"/>
      <c r="G7" s="364"/>
      <c r="H7" s="364"/>
      <c r="I7" s="364"/>
      <c r="J7" s="364"/>
      <c r="K7" s="364"/>
      <c r="L7" s="364"/>
      <c r="M7" s="364"/>
      <c r="N7" s="364"/>
      <c r="O7" s="364"/>
      <c r="P7" s="364"/>
      <c r="Q7" s="25"/>
      <c r="R7" s="25"/>
      <c r="S7" s="25"/>
    </row>
    <row r="8" spans="1:19" x14ac:dyDescent="0.25">
      <c r="A8" s="363" t="s">
        <v>179</v>
      </c>
      <c r="B8" s="363"/>
      <c r="C8" s="363"/>
      <c r="D8" s="363"/>
      <c r="E8" s="363"/>
      <c r="F8" s="363"/>
      <c r="G8" s="363"/>
      <c r="H8" s="363"/>
      <c r="I8" s="363"/>
      <c r="J8" s="363"/>
      <c r="K8" s="363"/>
      <c r="L8" s="363"/>
      <c r="M8" s="363"/>
      <c r="N8" s="363"/>
      <c r="O8" s="363"/>
      <c r="P8" s="363"/>
      <c r="Q8" s="25"/>
      <c r="R8" s="25"/>
      <c r="S8" s="25"/>
    </row>
    <row r="9" spans="1:19" x14ac:dyDescent="0.25">
      <c r="A9" s="363" t="s">
        <v>180</v>
      </c>
      <c r="B9" s="363"/>
      <c r="C9" s="363"/>
      <c r="D9" s="363"/>
      <c r="E9" s="363"/>
      <c r="F9" s="363"/>
      <c r="G9" s="363"/>
      <c r="H9" s="363"/>
      <c r="I9" s="363"/>
      <c r="J9" s="363"/>
      <c r="K9" s="363"/>
      <c r="L9" s="363"/>
      <c r="M9" s="363"/>
      <c r="N9" s="363"/>
      <c r="O9" s="363"/>
      <c r="P9" s="363"/>
      <c r="Q9" s="25"/>
      <c r="R9" s="25"/>
      <c r="S9" s="25"/>
    </row>
    <row r="10" spans="1:19" x14ac:dyDescent="0.25">
      <c r="A10" s="363" t="s">
        <v>181</v>
      </c>
      <c r="B10" s="363"/>
      <c r="C10" s="363"/>
      <c r="D10" s="363"/>
      <c r="E10" s="363"/>
      <c r="F10" s="363"/>
      <c r="G10" s="363"/>
      <c r="H10" s="363"/>
      <c r="I10" s="363"/>
      <c r="J10" s="363"/>
      <c r="K10" s="363"/>
      <c r="L10" s="363"/>
      <c r="M10" s="363"/>
      <c r="N10" s="363"/>
      <c r="O10" s="363"/>
      <c r="P10" s="363"/>
      <c r="Q10" s="25"/>
      <c r="R10" s="25"/>
      <c r="S10" s="25"/>
    </row>
    <row r="11" spans="1:19" x14ac:dyDescent="0.25">
      <c r="A11" s="363" t="s">
        <v>182</v>
      </c>
      <c r="B11" s="363"/>
      <c r="C11" s="363"/>
      <c r="D11" s="363"/>
      <c r="E11" s="363"/>
      <c r="F11" s="363"/>
      <c r="G11" s="363">
        <v>0</v>
      </c>
      <c r="H11" s="363"/>
      <c r="I11" s="363"/>
      <c r="J11" s="363"/>
      <c r="K11" s="363"/>
      <c r="L11" s="363"/>
      <c r="M11" s="363"/>
      <c r="N11" s="363"/>
      <c r="O11" s="363"/>
      <c r="P11" s="363"/>
      <c r="Q11" s="25"/>
      <c r="R11" s="25"/>
      <c r="S11" s="25"/>
    </row>
    <row r="12" spans="1:19" x14ac:dyDescent="0.25">
      <c r="A12" s="363" t="s">
        <v>183</v>
      </c>
      <c r="B12" s="363"/>
      <c r="C12" s="363"/>
      <c r="D12" s="363"/>
      <c r="E12" s="363"/>
      <c r="F12" s="363"/>
      <c r="G12" s="363">
        <v>0</v>
      </c>
      <c r="H12" s="363"/>
      <c r="I12" s="363"/>
      <c r="J12" s="363"/>
      <c r="K12" s="363"/>
      <c r="L12" s="363"/>
      <c r="M12" s="363"/>
      <c r="N12" s="363"/>
      <c r="O12" s="363"/>
      <c r="P12" s="363"/>
      <c r="Q12" s="25"/>
      <c r="R12" s="25"/>
      <c r="S12" s="25"/>
    </row>
    <row r="13" spans="1:19" x14ac:dyDescent="0.25">
      <c r="A13" s="363" t="s">
        <v>184</v>
      </c>
      <c r="B13" s="363"/>
      <c r="C13" s="363"/>
      <c r="D13" s="363"/>
      <c r="E13" s="363"/>
      <c r="F13" s="363"/>
      <c r="G13" s="363">
        <v>0</v>
      </c>
      <c r="H13" s="363"/>
      <c r="I13" s="363"/>
      <c r="J13" s="363"/>
      <c r="K13" s="363"/>
      <c r="L13" s="363"/>
      <c r="M13" s="363"/>
      <c r="N13" s="363"/>
      <c r="O13" s="363"/>
      <c r="P13" s="363"/>
      <c r="Q13" s="25"/>
      <c r="R13" s="25"/>
      <c r="S13" s="25"/>
    </row>
    <row r="14" spans="1:19" x14ac:dyDescent="0.25">
      <c r="A14" s="363" t="s">
        <v>185</v>
      </c>
      <c r="B14" s="363"/>
      <c r="C14" s="363"/>
      <c r="D14" s="363"/>
      <c r="E14" s="363"/>
      <c r="F14" s="363"/>
      <c r="G14" s="363">
        <v>0</v>
      </c>
      <c r="H14" s="363"/>
      <c r="I14" s="363"/>
      <c r="J14" s="363"/>
      <c r="K14" s="363"/>
      <c r="L14" s="363"/>
      <c r="M14" s="363"/>
      <c r="N14" s="363"/>
      <c r="O14" s="363"/>
      <c r="P14" s="363"/>
      <c r="Q14" s="25"/>
      <c r="R14" s="25"/>
      <c r="S14" s="25"/>
    </row>
    <row r="15" spans="1:19" x14ac:dyDescent="0.25">
      <c r="A15" s="363" t="s">
        <v>186</v>
      </c>
      <c r="B15" s="363"/>
      <c r="C15" s="363"/>
      <c r="D15" s="363"/>
      <c r="E15" s="363"/>
      <c r="F15" s="363"/>
      <c r="G15" s="363">
        <v>0</v>
      </c>
      <c r="H15" s="363"/>
      <c r="I15" s="363"/>
      <c r="J15" s="363"/>
      <c r="K15" s="363"/>
      <c r="L15" s="363"/>
      <c r="M15" s="363"/>
      <c r="N15" s="363"/>
      <c r="O15" s="363"/>
      <c r="P15" s="363"/>
      <c r="Q15" s="25"/>
      <c r="R15" s="25"/>
      <c r="S15" s="25"/>
    </row>
    <row r="16" spans="1:19" x14ac:dyDescent="0.25">
      <c r="A16" s="363"/>
      <c r="B16" s="363"/>
      <c r="C16" s="363"/>
      <c r="D16" s="363"/>
      <c r="E16" s="363"/>
      <c r="F16" s="363"/>
      <c r="G16" s="363"/>
      <c r="H16" s="363"/>
      <c r="I16" s="363"/>
      <c r="J16" s="363"/>
      <c r="K16" s="363"/>
      <c r="L16" s="363"/>
      <c r="M16" s="363"/>
      <c r="N16" s="363"/>
      <c r="O16" s="363"/>
      <c r="P16" s="363"/>
      <c r="Q16" s="25"/>
      <c r="R16" s="25"/>
      <c r="S16" s="25"/>
    </row>
    <row r="17" spans="1:19" x14ac:dyDescent="0.25">
      <c r="A17" s="570" t="s">
        <v>187</v>
      </c>
      <c r="B17" s="571" t="s">
        <v>187</v>
      </c>
      <c r="C17" s="571"/>
      <c r="D17" s="571"/>
      <c r="E17" s="571"/>
      <c r="F17" s="571"/>
      <c r="G17" s="571"/>
      <c r="H17" s="571"/>
      <c r="I17" s="571"/>
      <c r="J17" s="571"/>
      <c r="K17" s="571"/>
      <c r="L17" s="571"/>
      <c r="M17" s="571"/>
      <c r="N17" s="571"/>
      <c r="O17" s="571"/>
      <c r="P17" s="572"/>
      <c r="Q17" s="25"/>
      <c r="R17" s="25"/>
      <c r="S17" s="25"/>
    </row>
    <row r="18" spans="1:19" x14ac:dyDescent="0.25">
      <c r="A18" s="365" t="s">
        <v>987</v>
      </c>
      <c r="B18" s="366" t="e">
        <f>'טבלה 1 - התקציב הרגיל'!#REF!</f>
        <v>#REF!</v>
      </c>
      <c r="C18" s="366">
        <f>'טבלה 1 - התקציב הרגיל'!B32</f>
        <v>8547</v>
      </c>
      <c r="D18" s="366">
        <f>'טבלה 1 - התקציב הרגיל'!C32</f>
        <v>10326</v>
      </c>
      <c r="E18" s="366" t="e">
        <f>B18-D18</f>
        <v>#REF!</v>
      </c>
      <c r="F18" s="366"/>
      <c r="G18" s="366">
        <f>'טבלה 1 - התקציב הרגיל'!G28</f>
        <v>10395</v>
      </c>
      <c r="H18" s="366">
        <f>'טבלה 1 - התקציב הרגיל'!H32</f>
        <v>11486</v>
      </c>
      <c r="I18" s="366">
        <f>D18-G18</f>
        <v>-69</v>
      </c>
      <c r="J18" s="366"/>
      <c r="K18" s="366">
        <f>'טבלה 1 - התקציב הרגיל'!K32</f>
        <v>10769</v>
      </c>
      <c r="L18" s="366">
        <f>G18-K18</f>
        <v>-374</v>
      </c>
      <c r="M18" s="366"/>
      <c r="N18" s="366">
        <f>'טבלה 1 - התקציב הרגיל'!M32</f>
        <v>7915</v>
      </c>
      <c r="O18" s="366">
        <f>K18-N18</f>
        <v>2854</v>
      </c>
      <c r="P18" s="366"/>
      <c r="Q18" s="25"/>
      <c r="R18" s="25"/>
      <c r="S18" s="25"/>
    </row>
    <row r="19" spans="1:19" x14ac:dyDescent="0.25">
      <c r="A19" s="363" t="s">
        <v>177</v>
      </c>
      <c r="B19" s="364"/>
      <c r="C19" s="364"/>
      <c r="D19" s="364"/>
      <c r="E19" s="364"/>
      <c r="F19" s="364"/>
      <c r="G19" s="364"/>
      <c r="H19" s="364"/>
      <c r="I19" s="364"/>
      <c r="J19" s="364"/>
      <c r="K19" s="364"/>
      <c r="L19" s="364"/>
      <c r="M19" s="364"/>
      <c r="N19" s="364"/>
      <c r="O19" s="364"/>
      <c r="P19" s="364"/>
      <c r="Q19" s="25"/>
      <c r="R19" s="25"/>
      <c r="S19" s="25"/>
    </row>
    <row r="20" spans="1:19" x14ac:dyDescent="0.25">
      <c r="A20" s="363" t="s">
        <v>178</v>
      </c>
      <c r="B20" s="364"/>
      <c r="C20" s="364"/>
      <c r="D20" s="364"/>
      <c r="E20" s="364"/>
      <c r="F20" s="364"/>
      <c r="G20" s="364"/>
      <c r="H20" s="364"/>
      <c r="I20" s="364"/>
      <c r="J20" s="364"/>
      <c r="K20" s="364"/>
      <c r="L20" s="364"/>
      <c r="M20" s="364"/>
      <c r="N20" s="364"/>
      <c r="O20" s="364"/>
      <c r="P20" s="364"/>
      <c r="Q20" s="25"/>
      <c r="R20" s="25"/>
      <c r="S20" s="25"/>
    </row>
    <row r="21" spans="1:19" x14ac:dyDescent="0.25">
      <c r="A21" s="363" t="s">
        <v>179</v>
      </c>
      <c r="B21" s="363"/>
      <c r="C21" s="363"/>
      <c r="D21" s="363"/>
      <c r="E21" s="363"/>
      <c r="F21" s="363"/>
      <c r="G21" s="363"/>
      <c r="H21" s="363"/>
      <c r="I21" s="363"/>
      <c r="J21" s="363"/>
      <c r="K21" s="363"/>
      <c r="L21" s="363"/>
      <c r="M21" s="363"/>
      <c r="N21" s="363"/>
      <c r="O21" s="363"/>
      <c r="P21" s="363"/>
      <c r="Q21" s="25"/>
      <c r="R21" s="25"/>
      <c r="S21" s="25"/>
    </row>
    <row r="22" spans="1:19" x14ac:dyDescent="0.25">
      <c r="A22" s="363" t="s">
        <v>180</v>
      </c>
      <c r="B22" s="363"/>
      <c r="C22" s="363"/>
      <c r="D22" s="363"/>
      <c r="E22" s="363"/>
      <c r="F22" s="363"/>
      <c r="G22" s="363">
        <v>0</v>
      </c>
      <c r="H22" s="363"/>
      <c r="I22" s="363"/>
      <c r="J22" s="363"/>
      <c r="K22" s="363"/>
      <c r="L22" s="363"/>
      <c r="M22" s="363"/>
      <c r="N22" s="363"/>
      <c r="O22" s="363"/>
      <c r="P22" s="363"/>
      <c r="Q22" s="25"/>
      <c r="R22" s="25"/>
      <c r="S22" s="25"/>
    </row>
    <row r="23" spans="1:19" x14ac:dyDescent="0.25">
      <c r="A23" s="363" t="s">
        <v>181</v>
      </c>
      <c r="B23" s="363"/>
      <c r="C23" s="363"/>
      <c r="D23" s="363"/>
      <c r="E23" s="363"/>
      <c r="F23" s="363"/>
      <c r="G23" s="363">
        <v>0</v>
      </c>
      <c r="H23" s="363"/>
      <c r="I23" s="363"/>
      <c r="J23" s="363"/>
      <c r="K23" s="363"/>
      <c r="L23" s="363"/>
      <c r="M23" s="363"/>
      <c r="N23" s="363"/>
      <c r="O23" s="363"/>
      <c r="P23" s="363"/>
      <c r="Q23" s="25"/>
      <c r="R23" s="25"/>
      <c r="S23" s="25"/>
    </row>
    <row r="24" spans="1:19" x14ac:dyDescent="0.25">
      <c r="A24" s="363" t="s">
        <v>182</v>
      </c>
      <c r="B24" s="363"/>
      <c r="C24" s="363"/>
      <c r="D24" s="363"/>
      <c r="E24" s="363"/>
      <c r="F24" s="363"/>
      <c r="G24" s="363">
        <v>0</v>
      </c>
      <c r="H24" s="363"/>
      <c r="I24" s="363"/>
      <c r="J24" s="363"/>
      <c r="K24" s="363"/>
      <c r="L24" s="363"/>
      <c r="M24" s="363"/>
      <c r="N24" s="363"/>
      <c r="O24" s="363"/>
      <c r="P24" s="363"/>
      <c r="Q24" s="25"/>
      <c r="R24" s="25"/>
      <c r="S24" s="25"/>
    </row>
    <row r="25" spans="1:19" x14ac:dyDescent="0.25">
      <c r="A25" s="363" t="s">
        <v>183</v>
      </c>
      <c r="B25" s="363"/>
      <c r="C25" s="363"/>
      <c r="D25" s="363"/>
      <c r="E25" s="363"/>
      <c r="F25" s="363"/>
      <c r="G25" s="363">
        <v>0</v>
      </c>
      <c r="H25" s="363"/>
      <c r="I25" s="363"/>
      <c r="J25" s="363"/>
      <c r="K25" s="363"/>
      <c r="L25" s="363"/>
      <c r="M25" s="363"/>
      <c r="N25" s="363"/>
      <c r="O25" s="363"/>
      <c r="P25" s="363"/>
      <c r="Q25" s="25"/>
      <c r="R25" s="25"/>
      <c r="S25" s="25"/>
    </row>
    <row r="26" spans="1:19" x14ac:dyDescent="0.25">
      <c r="A26" s="363" t="s">
        <v>184</v>
      </c>
      <c r="B26" s="363"/>
      <c r="C26" s="363"/>
      <c r="D26" s="363"/>
      <c r="E26" s="363"/>
      <c r="F26" s="363"/>
      <c r="G26" s="363">
        <v>0</v>
      </c>
      <c r="H26" s="363"/>
      <c r="I26" s="363"/>
      <c r="J26" s="363"/>
      <c r="K26" s="363"/>
      <c r="L26" s="363"/>
      <c r="M26" s="363"/>
      <c r="N26" s="363"/>
      <c r="O26" s="363"/>
      <c r="P26" s="363"/>
      <c r="Q26" s="25"/>
      <c r="R26" s="25"/>
      <c r="S26" s="25"/>
    </row>
    <row r="27" spans="1:19" x14ac:dyDescent="0.25">
      <c r="A27" s="363" t="s">
        <v>185</v>
      </c>
      <c r="B27" s="363"/>
      <c r="C27" s="363"/>
      <c r="D27" s="363"/>
      <c r="E27" s="363"/>
      <c r="F27" s="363"/>
      <c r="G27" s="363">
        <v>0</v>
      </c>
      <c r="H27" s="363"/>
      <c r="I27" s="363"/>
      <c r="J27" s="363"/>
      <c r="K27" s="363"/>
      <c r="L27" s="363"/>
      <c r="M27" s="363"/>
      <c r="N27" s="363"/>
      <c r="O27" s="363"/>
      <c r="P27" s="363"/>
      <c r="Q27" s="25"/>
      <c r="R27" s="25"/>
      <c r="S27" s="25"/>
    </row>
    <row r="28" spans="1:19" x14ac:dyDescent="0.25">
      <c r="A28" s="363" t="s">
        <v>186</v>
      </c>
      <c r="B28" s="363"/>
      <c r="C28" s="363"/>
      <c r="D28" s="363"/>
      <c r="E28" s="363"/>
      <c r="F28" s="363"/>
      <c r="G28" s="363">
        <v>0</v>
      </c>
      <c r="H28" s="363"/>
      <c r="I28" s="363"/>
      <c r="J28" s="363"/>
      <c r="K28" s="363"/>
      <c r="L28" s="363"/>
      <c r="M28" s="363"/>
      <c r="N28" s="363"/>
      <c r="O28" s="363"/>
      <c r="P28" s="363"/>
      <c r="Q28" s="25"/>
      <c r="R28" s="25"/>
      <c r="S28" s="25"/>
    </row>
    <row r="29" spans="1:19" x14ac:dyDescent="0.25">
      <c r="A29" s="363"/>
      <c r="B29" s="363"/>
      <c r="C29" s="363"/>
      <c r="D29" s="363"/>
      <c r="E29" s="363"/>
      <c r="F29" s="363"/>
      <c r="G29" s="363"/>
      <c r="H29" s="363"/>
      <c r="I29" s="363"/>
      <c r="J29" s="363"/>
      <c r="K29" s="363"/>
      <c r="L29" s="363"/>
      <c r="M29" s="363"/>
      <c r="N29" s="363"/>
      <c r="O29" s="363"/>
      <c r="P29" s="363"/>
      <c r="Q29" s="25"/>
      <c r="R29" s="25"/>
      <c r="S29" s="25"/>
    </row>
    <row r="30" spans="1:19" x14ac:dyDescent="0.25">
      <c r="A30" s="570" t="s">
        <v>188</v>
      </c>
      <c r="B30" s="571" t="s">
        <v>188</v>
      </c>
      <c r="C30" s="571"/>
      <c r="D30" s="571"/>
      <c r="E30" s="571"/>
      <c r="F30" s="571"/>
      <c r="G30" s="571"/>
      <c r="H30" s="571"/>
      <c r="I30" s="571"/>
      <c r="J30" s="571"/>
      <c r="K30" s="571"/>
      <c r="L30" s="571"/>
      <c r="M30" s="571"/>
      <c r="N30" s="571"/>
      <c r="O30" s="571"/>
      <c r="P30" s="572"/>
      <c r="Q30" s="25"/>
      <c r="R30" s="25"/>
      <c r="S30" s="25"/>
    </row>
    <row r="31" spans="1:19" x14ac:dyDescent="0.25">
      <c r="A31" s="365" t="s">
        <v>985</v>
      </c>
      <c r="B31" s="366" t="e">
        <f>'טבלה 1 - התקציב הרגיל'!#REF!</f>
        <v>#REF!</v>
      </c>
      <c r="C31" s="366">
        <f>'טבלה 1 - התקציב הרגיל'!B35</f>
        <v>1873</v>
      </c>
      <c r="D31" s="366">
        <f>'טבלה 1 - התקציב הרגיל'!C35</f>
        <v>2231</v>
      </c>
      <c r="E31" s="366" t="e">
        <f>B31-D31</f>
        <v>#REF!</v>
      </c>
      <c r="F31" s="366"/>
      <c r="G31" s="366">
        <f>'טבלה 1 - התקציב הרגיל'!G35</f>
        <v>1873</v>
      </c>
      <c r="H31" s="366">
        <f>'טבלה 1 - התקציב הרגיל'!H35</f>
        <v>2352</v>
      </c>
      <c r="I31" s="366">
        <f>D31-G31</f>
        <v>358</v>
      </c>
      <c r="J31" s="366"/>
      <c r="K31" s="366">
        <f>'טבלה 1 - התקציב הרגיל'!K35</f>
        <v>2366</v>
      </c>
      <c r="L31" s="366">
        <f>G31-K31</f>
        <v>-493</v>
      </c>
      <c r="M31" s="366"/>
      <c r="N31" s="366">
        <f>'טבלה 1 - התקציב הרגיל'!M35</f>
        <v>2414</v>
      </c>
      <c r="O31" s="366">
        <f>K31-N31</f>
        <v>-48</v>
      </c>
      <c r="P31" s="366"/>
      <c r="Q31" s="25"/>
      <c r="R31" s="25"/>
      <c r="S31" s="25"/>
    </row>
    <row r="32" spans="1:19" x14ac:dyDescent="0.25">
      <c r="A32" s="363" t="s">
        <v>177</v>
      </c>
      <c r="B32" s="364"/>
      <c r="C32" s="364"/>
      <c r="D32" s="364"/>
      <c r="E32" s="364"/>
      <c r="F32" s="364"/>
      <c r="G32" s="50"/>
      <c r="H32" s="50"/>
      <c r="I32" s="50"/>
      <c r="J32" s="50"/>
      <c r="K32" s="50"/>
      <c r="L32" s="50"/>
      <c r="M32" s="50"/>
      <c r="N32" s="50"/>
      <c r="O32" s="50"/>
      <c r="P32" s="364"/>
      <c r="Q32" s="25"/>
      <c r="R32" s="25"/>
      <c r="S32" s="25"/>
    </row>
    <row r="33" spans="1:19" x14ac:dyDescent="0.25">
      <c r="A33" s="363" t="s">
        <v>178</v>
      </c>
      <c r="B33" s="364"/>
      <c r="C33" s="364"/>
      <c r="D33" s="364"/>
      <c r="E33" s="364"/>
      <c r="F33" s="364"/>
      <c r="G33" s="364"/>
      <c r="H33" s="364"/>
      <c r="I33" s="364"/>
      <c r="J33" s="364"/>
      <c r="K33" s="364"/>
      <c r="L33" s="364"/>
      <c r="M33" s="364"/>
      <c r="N33" s="364"/>
      <c r="O33" s="364"/>
      <c r="P33" s="364"/>
      <c r="Q33" s="25"/>
      <c r="R33" s="25"/>
      <c r="S33" s="25"/>
    </row>
    <row r="34" spans="1:19" x14ac:dyDescent="0.25">
      <c r="A34" s="363" t="s">
        <v>179</v>
      </c>
      <c r="B34" s="363"/>
      <c r="C34" s="363"/>
      <c r="D34" s="363"/>
      <c r="E34" s="363"/>
      <c r="F34" s="363"/>
      <c r="G34" s="363">
        <v>0</v>
      </c>
      <c r="H34" s="363"/>
      <c r="I34" s="363"/>
      <c r="J34" s="363"/>
      <c r="K34" s="363"/>
      <c r="L34" s="363"/>
      <c r="M34" s="363"/>
      <c r="N34" s="363"/>
      <c r="O34" s="363"/>
      <c r="P34" s="363"/>
      <c r="Q34" s="25"/>
      <c r="R34" s="25"/>
      <c r="S34" s="25"/>
    </row>
    <row r="35" spans="1:19" x14ac:dyDescent="0.25">
      <c r="A35" s="363" t="s">
        <v>180</v>
      </c>
      <c r="B35" s="363"/>
      <c r="C35" s="363"/>
      <c r="D35" s="363"/>
      <c r="E35" s="363"/>
      <c r="F35" s="363"/>
      <c r="G35" s="363">
        <v>0</v>
      </c>
      <c r="H35" s="363"/>
      <c r="I35" s="363"/>
      <c r="J35" s="363"/>
      <c r="K35" s="363"/>
      <c r="L35" s="363"/>
      <c r="M35" s="363"/>
      <c r="N35" s="363"/>
      <c r="O35" s="363"/>
      <c r="P35" s="363"/>
      <c r="Q35" s="25"/>
      <c r="R35" s="25"/>
      <c r="S35" s="25"/>
    </row>
    <row r="36" spans="1:19" x14ac:dyDescent="0.25">
      <c r="A36" s="363" t="s">
        <v>181</v>
      </c>
      <c r="B36" s="363"/>
      <c r="C36" s="363"/>
      <c r="D36" s="363"/>
      <c r="E36" s="363"/>
      <c r="F36" s="363"/>
      <c r="G36" s="363">
        <v>0</v>
      </c>
      <c r="H36" s="363"/>
      <c r="I36" s="363"/>
      <c r="J36" s="363"/>
      <c r="K36" s="363"/>
      <c r="L36" s="363"/>
      <c r="M36" s="363"/>
      <c r="N36" s="363"/>
      <c r="O36" s="363"/>
      <c r="P36" s="363"/>
      <c r="Q36" s="25"/>
      <c r="R36" s="25"/>
      <c r="S36" s="25"/>
    </row>
    <row r="37" spans="1:19" x14ac:dyDescent="0.25">
      <c r="A37" s="363" t="s">
        <v>182</v>
      </c>
      <c r="B37" s="363"/>
      <c r="C37" s="363"/>
      <c r="D37" s="363"/>
      <c r="E37" s="363"/>
      <c r="F37" s="363"/>
      <c r="G37" s="363">
        <v>0</v>
      </c>
      <c r="H37" s="363"/>
      <c r="I37" s="363"/>
      <c r="J37" s="363"/>
      <c r="K37" s="363"/>
      <c r="L37" s="363"/>
      <c r="M37" s="363"/>
      <c r="N37" s="363"/>
      <c r="O37" s="363"/>
      <c r="P37" s="363"/>
      <c r="Q37" s="25"/>
      <c r="R37" s="25"/>
      <c r="S37" s="25"/>
    </row>
    <row r="38" spans="1:19" x14ac:dyDescent="0.25">
      <c r="A38" s="363" t="s">
        <v>183</v>
      </c>
      <c r="B38" s="363"/>
      <c r="C38" s="363"/>
      <c r="D38" s="363"/>
      <c r="E38" s="363"/>
      <c r="F38" s="363"/>
      <c r="G38" s="363">
        <v>0</v>
      </c>
      <c r="H38" s="363"/>
      <c r="I38" s="363"/>
      <c r="J38" s="363"/>
      <c r="K38" s="363"/>
      <c r="L38" s="363"/>
      <c r="M38" s="363"/>
      <c r="N38" s="363"/>
      <c r="O38" s="363"/>
      <c r="P38" s="363"/>
      <c r="Q38" s="25"/>
      <c r="R38" s="25"/>
      <c r="S38" s="25"/>
    </row>
    <row r="39" spans="1:19" x14ac:dyDescent="0.25">
      <c r="A39" s="363" t="s">
        <v>184</v>
      </c>
      <c r="B39" s="363"/>
      <c r="C39" s="363"/>
      <c r="D39" s="363"/>
      <c r="E39" s="363"/>
      <c r="F39" s="363"/>
      <c r="G39" s="363">
        <v>0</v>
      </c>
      <c r="H39" s="363"/>
      <c r="I39" s="363"/>
      <c r="J39" s="363"/>
      <c r="K39" s="363"/>
      <c r="L39" s="363"/>
      <c r="M39" s="363"/>
      <c r="N39" s="363"/>
      <c r="O39" s="363"/>
      <c r="P39" s="363"/>
      <c r="Q39" s="25"/>
      <c r="R39" s="25"/>
      <c r="S39" s="25"/>
    </row>
    <row r="40" spans="1:19" x14ac:dyDescent="0.25">
      <c r="A40" s="363" t="s">
        <v>185</v>
      </c>
      <c r="B40" s="363"/>
      <c r="C40" s="363"/>
      <c r="D40" s="363"/>
      <c r="E40" s="363"/>
      <c r="F40" s="363"/>
      <c r="G40" s="363">
        <v>0</v>
      </c>
      <c r="H40" s="363"/>
      <c r="I40" s="363"/>
      <c r="J40" s="363"/>
      <c r="K40" s="363"/>
      <c r="L40" s="363"/>
      <c r="M40" s="363"/>
      <c r="N40" s="363"/>
      <c r="O40" s="363"/>
      <c r="P40" s="363"/>
      <c r="Q40" s="25"/>
      <c r="R40" s="25"/>
      <c r="S40" s="25"/>
    </row>
    <row r="41" spans="1:19" x14ac:dyDescent="0.25">
      <c r="A41" s="363" t="s">
        <v>186</v>
      </c>
      <c r="B41" s="363"/>
      <c r="C41" s="363"/>
      <c r="D41" s="363"/>
      <c r="E41" s="363"/>
      <c r="F41" s="363"/>
      <c r="G41" s="363">
        <v>0</v>
      </c>
      <c r="H41" s="363"/>
      <c r="I41" s="363"/>
      <c r="J41" s="363"/>
      <c r="K41" s="363"/>
      <c r="L41" s="363"/>
      <c r="M41" s="363"/>
      <c r="N41" s="363"/>
      <c r="O41" s="363"/>
      <c r="P41" s="363"/>
      <c r="Q41" s="25"/>
      <c r="R41" s="25"/>
      <c r="S41" s="25"/>
    </row>
    <row r="42" spans="1:19" x14ac:dyDescent="0.25">
      <c r="A42" s="363"/>
      <c r="B42" s="363"/>
      <c r="C42" s="363"/>
      <c r="D42" s="363"/>
      <c r="E42" s="363"/>
      <c r="F42" s="363"/>
      <c r="G42" s="363"/>
      <c r="H42" s="363"/>
      <c r="I42" s="363"/>
      <c r="J42" s="363"/>
      <c r="K42" s="363"/>
      <c r="L42" s="363"/>
      <c r="M42" s="363"/>
      <c r="N42" s="363"/>
      <c r="O42" s="363"/>
      <c r="P42" s="363"/>
      <c r="Q42" s="25"/>
      <c r="R42" s="25"/>
      <c r="S42" s="25"/>
    </row>
    <row r="43" spans="1:19" x14ac:dyDescent="0.25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</row>
    <row r="44" spans="1:19" x14ac:dyDescent="0.25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</row>
    <row r="45" spans="1:19" x14ac:dyDescent="0.25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</row>
    <row r="46" spans="1:19" x14ac:dyDescent="0.25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</row>
    <row r="47" spans="1:19" x14ac:dyDescent="0.25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</row>
    <row r="48" spans="1:19" x14ac:dyDescent="0.25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</row>
    <row r="49" spans="1:19" x14ac:dyDescent="0.2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</row>
    <row r="50" spans="1:19" x14ac:dyDescent="0.25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</row>
    <row r="51" spans="1:19" x14ac:dyDescent="0.25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</row>
    <row r="52" spans="1:19" x14ac:dyDescent="0.25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</row>
    <row r="53" spans="1:19" x14ac:dyDescent="0.25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</row>
    <row r="54" spans="1:19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</row>
  </sheetData>
  <mergeCells count="5">
    <mergeCell ref="A30:P30"/>
    <mergeCell ref="A1:P1"/>
    <mergeCell ref="A2:P2"/>
    <mergeCell ref="A4:P4"/>
    <mergeCell ref="A17:P17"/>
  </mergeCells>
  <phoneticPr fontId="5" type="noConversion"/>
  <pageMargins left="0.23622047244094491" right="0.15748031496062992" top="0.39370078740157483" bottom="0.74803149606299213" header="0.31496062992125984" footer="0.31496062992125984"/>
  <pageSetup paperSize="9" scale="74" orientation="landscape" r:id="rId1"/>
  <headerFooter alignWithMargins="0">
    <oddFooter>&amp;L&amp;"David,מודגש"&amp;12&amp;P</oddFooter>
  </headerFooter>
  <colBreaks count="1" manualBreakCount="1">
    <brk id="16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3"/>
  <sheetViews>
    <sheetView showGridLines="0" rightToLeft="1" zoomScaleNormal="100" zoomScalePageLayoutView="50" workbookViewId="0">
      <selection activeCell="V5" sqref="V5"/>
    </sheetView>
  </sheetViews>
  <sheetFormatPr defaultRowHeight="15.75" x14ac:dyDescent="0.25"/>
  <cols>
    <col min="1" max="1" width="7" style="49" customWidth="1"/>
    <col min="2" max="2" width="9.7109375" style="49" customWidth="1"/>
    <col min="3" max="3" width="8.5703125" style="49" customWidth="1"/>
    <col min="4" max="4" width="8" style="49" customWidth="1"/>
    <col min="5" max="5" width="7.85546875" style="49" customWidth="1"/>
    <col min="6" max="6" width="12.140625" style="49" customWidth="1"/>
    <col min="7" max="8" width="9.28515625" style="49" bestFit="1" customWidth="1"/>
    <col min="9" max="9" width="9.42578125" style="49" customWidth="1"/>
    <col min="10" max="10" width="6.85546875" style="49" customWidth="1"/>
    <col min="11" max="11" width="8" style="49" customWidth="1"/>
    <col min="12" max="12" width="7.42578125" style="49" customWidth="1"/>
    <col min="13" max="17" width="9.28515625" style="49" bestFit="1" customWidth="1"/>
    <col min="18" max="18" width="8.85546875" style="49" bestFit="1" customWidth="1"/>
    <col min="19" max="19" width="9.28515625" style="49" bestFit="1" customWidth="1"/>
    <col min="20" max="20" width="11" style="49" bestFit="1" customWidth="1"/>
    <col min="21" max="21" width="6" style="49" bestFit="1" customWidth="1"/>
    <col min="22" max="22" width="11.140625" style="49" bestFit="1" customWidth="1"/>
    <col min="23" max="23" width="6.42578125" style="49" bestFit="1" customWidth="1"/>
    <col min="24" max="24" width="7.7109375" style="49" bestFit="1" customWidth="1"/>
    <col min="25" max="25" width="5" style="49" bestFit="1" customWidth="1"/>
    <col min="26" max="26" width="11" style="49" bestFit="1" customWidth="1"/>
    <col min="27" max="27" width="6" style="49" bestFit="1" customWidth="1"/>
    <col min="28" max="28" width="11.85546875" style="49" bestFit="1" customWidth="1"/>
    <col min="29" max="29" width="12.140625" style="49" bestFit="1" customWidth="1"/>
    <col min="30" max="30" width="27.28515625" style="49" customWidth="1"/>
    <col min="31" max="16384" width="9.140625" style="49"/>
  </cols>
  <sheetData>
    <row r="1" spans="1:33" x14ac:dyDescent="0.25">
      <c r="A1" s="576" t="s">
        <v>189</v>
      </c>
      <c r="B1" s="576"/>
      <c r="C1" s="576"/>
      <c r="D1" s="576"/>
      <c r="E1" s="576"/>
      <c r="F1" s="576"/>
      <c r="G1" s="576"/>
      <c r="H1" s="576"/>
      <c r="I1" s="576"/>
      <c r="J1" s="576"/>
      <c r="K1" s="576"/>
      <c r="L1" s="576"/>
      <c r="M1" s="576"/>
      <c r="N1" s="576"/>
      <c r="O1" s="576"/>
      <c r="P1" s="576"/>
      <c r="Q1" s="576"/>
      <c r="R1" s="576"/>
      <c r="S1" s="576"/>
      <c r="T1" s="576"/>
      <c r="U1" s="576"/>
      <c r="V1" s="576"/>
      <c r="W1" s="576"/>
      <c r="X1" s="576"/>
      <c r="Y1" s="576"/>
      <c r="Z1" s="576"/>
      <c r="AA1" s="576"/>
      <c r="AB1" s="576"/>
      <c r="AC1" s="576"/>
      <c r="AD1" s="576"/>
      <c r="AE1" s="25"/>
      <c r="AF1" s="25"/>
      <c r="AG1" s="25"/>
    </row>
    <row r="2" spans="1:33" ht="45.75" customHeight="1" x14ac:dyDescent="0.25">
      <c r="A2" s="577" t="str">
        <f>'[1]נספח 4- חסכון בשכר'!A2:P2</f>
        <v>מועצה מקומית עוספייה</v>
      </c>
      <c r="B2" s="577"/>
      <c r="C2" s="577"/>
      <c r="D2" s="577"/>
      <c r="E2" s="577"/>
      <c r="F2" s="577"/>
      <c r="G2" s="577"/>
      <c r="H2" s="577"/>
      <c r="I2" s="577"/>
      <c r="J2" s="577"/>
      <c r="K2" s="577"/>
      <c r="L2" s="577"/>
      <c r="M2" s="577"/>
      <c r="N2" s="577"/>
      <c r="O2" s="577"/>
      <c r="P2" s="577"/>
      <c r="Q2" s="577"/>
      <c r="R2" s="577"/>
      <c r="S2" s="577"/>
      <c r="T2" s="577"/>
      <c r="U2" s="577"/>
      <c r="V2" s="577"/>
      <c r="W2" s="577"/>
      <c r="X2" s="577"/>
      <c r="Y2" s="577"/>
      <c r="Z2" s="577"/>
      <c r="AA2" s="577"/>
      <c r="AB2" s="577"/>
      <c r="AC2" s="577"/>
      <c r="AD2" s="577"/>
      <c r="AE2" s="25"/>
      <c r="AF2" s="25"/>
      <c r="AG2" s="25"/>
    </row>
    <row r="3" spans="1:33" s="59" customFormat="1" ht="78.75" x14ac:dyDescent="0.2">
      <c r="A3" s="328" t="s">
        <v>190</v>
      </c>
      <c r="B3" s="328" t="s">
        <v>191</v>
      </c>
      <c r="C3" s="328" t="s">
        <v>192</v>
      </c>
      <c r="D3" s="328" t="s">
        <v>193</v>
      </c>
      <c r="E3" s="328" t="s">
        <v>194</v>
      </c>
      <c r="F3" s="328" t="s">
        <v>195</v>
      </c>
      <c r="G3" s="328" t="s">
        <v>196</v>
      </c>
      <c r="H3" s="328" t="s">
        <v>197</v>
      </c>
      <c r="I3" s="328" t="s">
        <v>198</v>
      </c>
      <c r="J3" s="328" t="s">
        <v>199</v>
      </c>
      <c r="K3" s="328" t="s">
        <v>200</v>
      </c>
      <c r="L3" s="328" t="s">
        <v>201</v>
      </c>
      <c r="M3" s="328" t="s">
        <v>202</v>
      </c>
      <c r="N3" s="328" t="s">
        <v>203</v>
      </c>
      <c r="O3" s="328" t="s">
        <v>204</v>
      </c>
      <c r="P3" s="328" t="s">
        <v>205</v>
      </c>
      <c r="Q3" s="328" t="s">
        <v>206</v>
      </c>
      <c r="R3" s="328" t="s">
        <v>207</v>
      </c>
      <c r="S3" s="328" t="s">
        <v>208</v>
      </c>
      <c r="T3" s="328" t="s">
        <v>209</v>
      </c>
      <c r="U3" s="578" t="s">
        <v>210</v>
      </c>
      <c r="V3" s="579"/>
      <c r="W3" s="578" t="s">
        <v>211</v>
      </c>
      <c r="X3" s="579"/>
      <c r="Y3" s="578" t="s">
        <v>212</v>
      </c>
      <c r="Z3" s="579"/>
      <c r="AA3" s="578" t="s">
        <v>213</v>
      </c>
      <c r="AB3" s="579"/>
      <c r="AC3" s="328" t="s">
        <v>116</v>
      </c>
      <c r="AD3" s="328" t="s">
        <v>83</v>
      </c>
      <c r="AE3" s="58"/>
      <c r="AF3" s="58"/>
      <c r="AG3" s="58"/>
    </row>
    <row r="4" spans="1:33" s="342" customFormat="1" x14ac:dyDescent="0.2">
      <c r="A4" s="86"/>
      <c r="B4" s="340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329" t="s">
        <v>214</v>
      </c>
      <c r="V4" s="329" t="s">
        <v>215</v>
      </c>
      <c r="W4" s="329" t="s">
        <v>216</v>
      </c>
      <c r="X4" s="329" t="s">
        <v>215</v>
      </c>
      <c r="Y4" s="329" t="s">
        <v>217</v>
      </c>
      <c r="Z4" s="329" t="s">
        <v>215</v>
      </c>
      <c r="AA4" s="329" t="s">
        <v>214</v>
      </c>
      <c r="AB4" s="329" t="s">
        <v>215</v>
      </c>
      <c r="AC4" s="86"/>
      <c r="AD4" s="86"/>
      <c r="AE4" s="341"/>
      <c r="AF4" s="341"/>
      <c r="AG4" s="341"/>
    </row>
    <row r="5" spans="1:33" s="342" customFormat="1" ht="31.5" x14ac:dyDescent="0.2">
      <c r="A5" s="343">
        <v>1</v>
      </c>
      <c r="B5" s="344">
        <v>2815172</v>
      </c>
      <c r="C5" s="344" t="s">
        <v>929</v>
      </c>
      <c r="D5" s="344" t="s">
        <v>930</v>
      </c>
      <c r="E5" s="344">
        <v>2.11</v>
      </c>
      <c r="F5" s="345">
        <v>42736</v>
      </c>
      <c r="G5" s="344">
        <v>5.8</v>
      </c>
      <c r="H5" s="344">
        <v>50</v>
      </c>
      <c r="I5" s="344">
        <v>45</v>
      </c>
      <c r="J5" s="344" t="s">
        <v>347</v>
      </c>
      <c r="K5" s="344">
        <v>0</v>
      </c>
      <c r="L5" s="344">
        <v>0</v>
      </c>
      <c r="M5" s="344">
        <v>0</v>
      </c>
      <c r="N5" s="344">
        <v>0</v>
      </c>
      <c r="O5" s="344">
        <v>0</v>
      </c>
      <c r="P5" s="344">
        <v>0</v>
      </c>
      <c r="Q5" s="344">
        <v>0</v>
      </c>
      <c r="R5" s="344" t="s">
        <v>347</v>
      </c>
      <c r="S5" s="344">
        <v>0</v>
      </c>
      <c r="T5" s="346">
        <v>2383.89</v>
      </c>
      <c r="U5" s="344">
        <v>1</v>
      </c>
      <c r="V5" s="346">
        <v>2383.89</v>
      </c>
      <c r="W5" s="344">
        <v>0</v>
      </c>
      <c r="X5" s="346">
        <v>0</v>
      </c>
      <c r="Y5" s="344">
        <v>100</v>
      </c>
      <c r="Z5" s="346">
        <v>17584.419999999998</v>
      </c>
      <c r="AA5" s="344">
        <v>12</v>
      </c>
      <c r="AB5" s="346">
        <v>1712.04</v>
      </c>
      <c r="AC5" s="346">
        <v>19296.46</v>
      </c>
      <c r="AD5" s="344" t="s">
        <v>931</v>
      </c>
      <c r="AE5" s="341"/>
      <c r="AF5" s="341"/>
      <c r="AG5" s="341"/>
    </row>
    <row r="6" spans="1:33" s="342" customFormat="1" ht="31.5" x14ac:dyDescent="0.2">
      <c r="A6" s="343">
        <v>3</v>
      </c>
      <c r="B6" s="344">
        <v>4624553</v>
      </c>
      <c r="C6" s="344" t="s">
        <v>935</v>
      </c>
      <c r="D6" s="344" t="s">
        <v>932</v>
      </c>
      <c r="E6" s="348">
        <v>4.0999999999999996</v>
      </c>
      <c r="F6" s="345">
        <v>42736</v>
      </c>
      <c r="G6" s="344">
        <v>6</v>
      </c>
      <c r="H6" s="344">
        <v>77</v>
      </c>
      <c r="I6" s="344">
        <v>35</v>
      </c>
      <c r="J6" s="347" t="s">
        <v>933</v>
      </c>
      <c r="K6" s="344">
        <v>0</v>
      </c>
      <c r="L6" s="344">
        <v>4</v>
      </c>
      <c r="M6" s="344">
        <v>6</v>
      </c>
      <c r="N6" s="344">
        <v>0</v>
      </c>
      <c r="O6" s="344">
        <v>0</v>
      </c>
      <c r="P6" s="344">
        <v>0</v>
      </c>
      <c r="Q6" s="344">
        <v>0</v>
      </c>
      <c r="R6" s="344" t="s">
        <v>934</v>
      </c>
      <c r="S6" s="344">
        <v>0</v>
      </c>
      <c r="T6" s="346">
        <v>4028.4</v>
      </c>
      <c r="U6" s="344">
        <v>2</v>
      </c>
      <c r="V6" s="346">
        <v>8056.8</v>
      </c>
      <c r="W6" s="344">
        <v>0</v>
      </c>
      <c r="X6" s="346">
        <v>0</v>
      </c>
      <c r="Y6" s="344">
        <v>100</v>
      </c>
      <c r="Z6" s="346">
        <v>28562.89</v>
      </c>
      <c r="AA6" s="344">
        <v>0</v>
      </c>
      <c r="AB6" s="346">
        <v>0</v>
      </c>
      <c r="AC6" s="346">
        <v>36619.69</v>
      </c>
      <c r="AD6" s="344" t="s">
        <v>931</v>
      </c>
      <c r="AE6" s="341"/>
      <c r="AF6" s="341"/>
      <c r="AG6" s="341"/>
    </row>
    <row r="7" spans="1:33" s="342" customFormat="1" ht="31.5" x14ac:dyDescent="0.2">
      <c r="A7" s="343">
        <v>4</v>
      </c>
      <c r="B7" s="362">
        <v>3292292</v>
      </c>
      <c r="C7" s="344" t="s">
        <v>982</v>
      </c>
      <c r="D7" s="344" t="s">
        <v>585</v>
      </c>
      <c r="E7" s="348"/>
      <c r="F7" s="345"/>
      <c r="G7" s="344"/>
      <c r="H7" s="344"/>
      <c r="I7" s="344"/>
      <c r="J7" s="347"/>
      <c r="K7" s="344"/>
      <c r="L7" s="344"/>
      <c r="M7" s="344"/>
      <c r="N7" s="344"/>
      <c r="O7" s="344"/>
      <c r="P7" s="344"/>
      <c r="Q7" s="344"/>
      <c r="R7" s="344"/>
      <c r="S7" s="344"/>
      <c r="T7" s="346"/>
      <c r="U7" s="344"/>
      <c r="V7" s="346"/>
      <c r="W7" s="344"/>
      <c r="X7" s="346"/>
      <c r="Y7" s="344"/>
      <c r="Z7" s="346"/>
      <c r="AA7" s="344"/>
      <c r="AB7" s="346"/>
      <c r="AC7" s="346"/>
      <c r="AD7" s="344"/>
      <c r="AE7" s="341"/>
      <c r="AF7" s="341"/>
      <c r="AG7" s="341"/>
    </row>
    <row r="8" spans="1:33" s="342" customFormat="1" ht="31.5" x14ac:dyDescent="0.2">
      <c r="A8" s="343">
        <v>5</v>
      </c>
      <c r="B8" s="362">
        <v>3945702</v>
      </c>
      <c r="C8" s="344" t="s">
        <v>983</v>
      </c>
      <c r="D8" s="344" t="s">
        <v>585</v>
      </c>
      <c r="E8" s="348"/>
      <c r="F8" s="345"/>
      <c r="G8" s="344"/>
      <c r="H8" s="344"/>
      <c r="I8" s="344"/>
      <c r="J8" s="347"/>
      <c r="K8" s="344"/>
      <c r="L8" s="344"/>
      <c r="M8" s="344"/>
      <c r="N8" s="344"/>
      <c r="O8" s="344"/>
      <c r="P8" s="344"/>
      <c r="Q8" s="344"/>
      <c r="R8" s="344"/>
      <c r="S8" s="344"/>
      <c r="T8" s="346"/>
      <c r="U8" s="344"/>
      <c r="V8" s="346"/>
      <c r="W8" s="344"/>
      <c r="X8" s="346"/>
      <c r="Y8" s="344"/>
      <c r="Z8" s="346"/>
      <c r="AA8" s="344"/>
      <c r="AB8" s="346"/>
      <c r="AC8" s="346"/>
      <c r="AD8" s="344"/>
      <c r="AE8" s="341"/>
      <c r="AF8" s="341"/>
      <c r="AG8" s="341"/>
    </row>
    <row r="9" spans="1:33" s="342" customFormat="1" ht="47.25" x14ac:dyDescent="0.2">
      <c r="A9" s="343">
        <v>6</v>
      </c>
      <c r="B9" s="344">
        <v>30305092</v>
      </c>
      <c r="C9" s="344" t="s">
        <v>984</v>
      </c>
      <c r="D9" s="344" t="s">
        <v>585</v>
      </c>
      <c r="E9" s="348"/>
      <c r="F9" s="345"/>
      <c r="G9" s="344"/>
      <c r="H9" s="344"/>
      <c r="I9" s="344"/>
      <c r="J9" s="347"/>
      <c r="K9" s="344"/>
      <c r="L9" s="344"/>
      <c r="M9" s="344"/>
      <c r="N9" s="344"/>
      <c r="O9" s="344"/>
      <c r="P9" s="344"/>
      <c r="Q9" s="344"/>
      <c r="R9" s="344"/>
      <c r="S9" s="344"/>
      <c r="T9" s="346"/>
      <c r="U9" s="344"/>
      <c r="V9" s="346"/>
      <c r="W9" s="344"/>
      <c r="X9" s="346"/>
      <c r="Y9" s="344"/>
      <c r="Z9" s="346"/>
      <c r="AA9" s="344"/>
      <c r="AB9" s="346"/>
      <c r="AC9" s="346"/>
      <c r="AD9" s="344"/>
      <c r="AE9" s="341"/>
      <c r="AF9" s="341"/>
      <c r="AG9" s="341"/>
    </row>
    <row r="10" spans="1:33" s="342" customFormat="1" x14ac:dyDescent="0.2">
      <c r="A10" s="343">
        <v>7</v>
      </c>
      <c r="B10" s="344"/>
      <c r="C10" s="344" t="s">
        <v>785</v>
      </c>
      <c r="D10" s="344"/>
      <c r="E10" s="348"/>
      <c r="F10" s="345"/>
      <c r="G10" s="344"/>
      <c r="H10" s="344"/>
      <c r="I10" s="344"/>
      <c r="J10" s="347"/>
      <c r="K10" s="344"/>
      <c r="L10" s="344"/>
      <c r="M10" s="344"/>
      <c r="N10" s="344"/>
      <c r="O10" s="344"/>
      <c r="P10" s="344"/>
      <c r="Q10" s="344"/>
      <c r="R10" s="344"/>
      <c r="S10" s="344"/>
      <c r="T10" s="346"/>
      <c r="U10" s="344"/>
      <c r="V10" s="346"/>
      <c r="W10" s="344"/>
      <c r="X10" s="346"/>
      <c r="Y10" s="344"/>
      <c r="Z10" s="346"/>
      <c r="AA10" s="344"/>
      <c r="AB10" s="346"/>
      <c r="AC10" s="346"/>
      <c r="AD10" s="344"/>
      <c r="AE10" s="341"/>
      <c r="AF10" s="341"/>
      <c r="AG10" s="341"/>
    </row>
    <row r="11" spans="1:33" s="342" customFormat="1" x14ac:dyDescent="0.2">
      <c r="A11" s="343"/>
      <c r="B11" s="344"/>
      <c r="C11" s="344" t="s">
        <v>785</v>
      </c>
      <c r="D11" s="344"/>
      <c r="E11" s="348"/>
      <c r="F11" s="345"/>
      <c r="G11" s="344"/>
      <c r="H11" s="344"/>
      <c r="I11" s="344"/>
      <c r="J11" s="347"/>
      <c r="K11" s="344"/>
      <c r="L11" s="344"/>
      <c r="M11" s="344"/>
      <c r="N11" s="344"/>
      <c r="O11" s="344"/>
      <c r="P11" s="344"/>
      <c r="Q11" s="344"/>
      <c r="R11" s="344"/>
      <c r="S11" s="344"/>
      <c r="T11" s="346"/>
      <c r="U11" s="344"/>
      <c r="V11" s="346"/>
      <c r="W11" s="344"/>
      <c r="X11" s="346"/>
      <c r="Y11" s="344"/>
      <c r="Z11" s="346"/>
      <c r="AA11" s="344"/>
      <c r="AB11" s="346"/>
      <c r="AC11" s="346"/>
      <c r="AD11" s="344"/>
      <c r="AE11" s="341"/>
      <c r="AF11" s="341"/>
      <c r="AG11" s="341"/>
    </row>
    <row r="12" spans="1:33" s="342" customFormat="1" ht="31.5" x14ac:dyDescent="0.2">
      <c r="A12" s="343">
        <v>8</v>
      </c>
      <c r="B12" s="344">
        <v>30018623</v>
      </c>
      <c r="C12" s="344" t="s">
        <v>936</v>
      </c>
      <c r="D12" s="344" t="s">
        <v>937</v>
      </c>
      <c r="E12" s="344">
        <v>11.11</v>
      </c>
      <c r="F12" s="345">
        <v>42736</v>
      </c>
      <c r="G12" s="344">
        <v>4.9000000000000004</v>
      </c>
      <c r="H12" s="344">
        <v>90</v>
      </c>
      <c r="I12" s="344">
        <v>30</v>
      </c>
      <c r="J12" s="344" t="s">
        <v>347</v>
      </c>
      <c r="K12" s="344">
        <v>0</v>
      </c>
      <c r="L12" s="344">
        <v>0</v>
      </c>
      <c r="M12" s="344">
        <v>0</v>
      </c>
      <c r="N12" s="344">
        <v>0</v>
      </c>
      <c r="O12" s="344">
        <v>0</v>
      </c>
      <c r="P12" s="344">
        <v>0</v>
      </c>
      <c r="Q12" s="344">
        <v>0</v>
      </c>
      <c r="R12" s="344" t="s">
        <v>347</v>
      </c>
      <c r="S12" s="344">
        <v>0</v>
      </c>
      <c r="T12" s="346">
        <v>4301.8900000000003</v>
      </c>
      <c r="U12" s="344">
        <v>1</v>
      </c>
      <c r="V12" s="346">
        <v>4301.8900000000003</v>
      </c>
      <c r="W12" s="344">
        <v>0</v>
      </c>
      <c r="X12" s="346">
        <v>0</v>
      </c>
      <c r="Y12" s="344">
        <v>0</v>
      </c>
      <c r="Z12" s="346">
        <v>23964.77</v>
      </c>
      <c r="AA12" s="344">
        <v>0</v>
      </c>
      <c r="AB12" s="346">
        <v>0</v>
      </c>
      <c r="AC12" s="346">
        <v>23964.77</v>
      </c>
      <c r="AD12" s="344" t="s">
        <v>931</v>
      </c>
      <c r="AE12" s="341"/>
      <c r="AF12" s="341"/>
      <c r="AG12" s="341"/>
    </row>
    <row r="13" spans="1:33" x14ac:dyDescent="0.25">
      <c r="A13" s="53"/>
      <c r="B13" s="54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6"/>
      <c r="AE13" s="25"/>
      <c r="AF13" s="25"/>
      <c r="AG13" s="25"/>
    </row>
    <row r="14" spans="1:33" x14ac:dyDescent="0.25">
      <c r="A14" s="60" t="s">
        <v>116</v>
      </c>
      <c r="B14" s="61"/>
      <c r="C14" s="60"/>
      <c r="D14" s="60"/>
      <c r="E14" s="60"/>
      <c r="F14" s="60"/>
      <c r="G14" s="349"/>
      <c r="H14" s="349"/>
      <c r="I14" s="349"/>
      <c r="J14" s="349"/>
      <c r="K14" s="349"/>
      <c r="L14" s="349"/>
      <c r="M14" s="349"/>
      <c r="N14" s="349"/>
      <c r="O14" s="349"/>
      <c r="P14" s="349"/>
      <c r="Q14" s="349"/>
      <c r="R14" s="349"/>
      <c r="S14" s="349">
        <f>S5+S6+S12</f>
        <v>0</v>
      </c>
      <c r="T14" s="349">
        <f>T12</f>
        <v>4301.8900000000003</v>
      </c>
      <c r="U14" s="349"/>
      <c r="V14" s="349">
        <f>V12</f>
        <v>4301.8900000000003</v>
      </c>
      <c r="W14" s="349"/>
      <c r="X14" s="349">
        <v>0</v>
      </c>
      <c r="Y14" s="349"/>
      <c r="Z14" s="349">
        <f>Z12</f>
        <v>23964.77</v>
      </c>
      <c r="AA14" s="349"/>
      <c r="AB14" s="349">
        <f>AB12</f>
        <v>0</v>
      </c>
      <c r="AC14" s="349">
        <f>AC12</f>
        <v>23964.77</v>
      </c>
      <c r="AD14" s="60"/>
      <c r="AE14" s="25"/>
      <c r="AF14" s="25"/>
      <c r="AG14" s="25"/>
    </row>
    <row r="15" spans="1:33" x14ac:dyDescent="0.25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</row>
    <row r="16" spans="1:33" x14ac:dyDescent="0.25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</row>
    <row r="17" spans="1:33" x14ac:dyDescent="0.25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357"/>
      <c r="W17" s="357"/>
      <c r="X17" s="357"/>
      <c r="Y17" s="357"/>
      <c r="Z17" s="357">
        <v>2017</v>
      </c>
      <c r="AA17" s="357"/>
      <c r="AB17" s="358">
        <f>AB14+Z14+V14</f>
        <v>28266.66</v>
      </c>
      <c r="AC17" s="357"/>
      <c r="AD17" s="25"/>
      <c r="AE17" s="25"/>
      <c r="AF17" s="25"/>
      <c r="AG17" s="25"/>
    </row>
    <row r="18" spans="1:33" x14ac:dyDescent="0.25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</row>
    <row r="19" spans="1:33" x14ac:dyDescent="0.25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</row>
    <row r="20" spans="1:33" x14ac:dyDescent="0.25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</row>
    <row r="21" spans="1:33" x14ac:dyDescent="0.25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</row>
    <row r="22" spans="1:33" x14ac:dyDescent="0.25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</row>
    <row r="23" spans="1:33" x14ac:dyDescent="0.25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</row>
  </sheetData>
  <mergeCells count="6">
    <mergeCell ref="A1:AD1"/>
    <mergeCell ref="A2:AD2"/>
    <mergeCell ref="U3:V3"/>
    <mergeCell ref="W3:X3"/>
    <mergeCell ref="Y3:Z3"/>
    <mergeCell ref="AA3:AB3"/>
  </mergeCells>
  <phoneticPr fontId="5" type="noConversion"/>
  <pageMargins left="0.23622047244094491" right="0.15748031496062992" top="0.39370078740157483" bottom="0.74803149606299213" header="0.31496062992125984" footer="0.31496062992125984"/>
  <pageSetup paperSize="9" scale="50" fitToWidth="2" orientation="landscape" r:id="rId1"/>
  <headerFooter alignWithMargins="0">
    <oddFooter>&amp;L&amp;"David,מודגש"&amp;12&amp;P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0"/>
  <sheetViews>
    <sheetView showGridLines="0" rightToLeft="1" view="pageBreakPreview" zoomScale="60" zoomScaleNormal="100" zoomScalePageLayoutView="60" workbookViewId="0">
      <selection activeCell="AH21" sqref="AH21"/>
    </sheetView>
  </sheetViews>
  <sheetFormatPr defaultRowHeight="15.75" x14ac:dyDescent="0.25"/>
  <cols>
    <col min="1" max="1" width="7.42578125" style="49" customWidth="1"/>
    <col min="2" max="2" width="9.28515625" style="49" bestFit="1" customWidth="1"/>
    <col min="3" max="4" width="10" style="49" bestFit="1" customWidth="1"/>
    <col min="5" max="5" width="7.28515625" style="49" bestFit="1" customWidth="1"/>
    <col min="6" max="6" width="12.28515625" style="49" bestFit="1" customWidth="1"/>
    <col min="7" max="8" width="9.28515625" style="49" bestFit="1" customWidth="1"/>
    <col min="9" max="12" width="9.42578125" style="49" bestFit="1" customWidth="1"/>
    <col min="13" max="17" width="9.5703125" style="49" bestFit="1" customWidth="1"/>
    <col min="18" max="18" width="7.5703125" style="49" customWidth="1"/>
    <col min="19" max="19" width="9.140625" style="49" customWidth="1"/>
    <col min="20" max="20" width="12.7109375" style="49" customWidth="1"/>
    <col min="21" max="21" width="9.42578125" style="49" bestFit="1" customWidth="1"/>
    <col min="22" max="22" width="12.42578125" style="49" bestFit="1" customWidth="1"/>
    <col min="23" max="23" width="9.42578125" style="49" bestFit="1" customWidth="1"/>
    <col min="24" max="24" width="12.42578125" style="49" bestFit="1" customWidth="1"/>
    <col min="25" max="25" width="7.28515625" style="49" bestFit="1" customWidth="1"/>
    <col min="26" max="26" width="12.42578125" style="49" bestFit="1" customWidth="1"/>
    <col min="27" max="27" width="8.42578125" style="49" bestFit="1" customWidth="1"/>
    <col min="28" max="28" width="10.140625" style="49" bestFit="1" customWidth="1"/>
    <col min="29" max="30" width="9.42578125" style="49" bestFit="1" customWidth="1"/>
    <col min="31" max="31" width="12.42578125" style="49" bestFit="1" customWidth="1"/>
    <col min="32" max="32" width="12.85546875" style="49" bestFit="1" customWidth="1"/>
    <col min="33" max="33" width="12.42578125" style="49" bestFit="1" customWidth="1"/>
    <col min="34" max="34" width="14.42578125" style="49" bestFit="1" customWidth="1"/>
    <col min="35" max="35" width="22" style="49" customWidth="1"/>
    <col min="36" max="16384" width="9.140625" style="49"/>
  </cols>
  <sheetData>
    <row r="1" spans="1:35" x14ac:dyDescent="0.25">
      <c r="A1" s="576" t="s">
        <v>218</v>
      </c>
      <c r="B1" s="576"/>
      <c r="C1" s="576"/>
      <c r="D1" s="576"/>
      <c r="E1" s="576"/>
      <c r="F1" s="576"/>
      <c r="G1" s="576"/>
      <c r="H1" s="576"/>
      <c r="I1" s="576"/>
      <c r="J1" s="576"/>
      <c r="K1" s="576"/>
      <c r="L1" s="576"/>
      <c r="M1" s="576"/>
      <c r="N1" s="576"/>
      <c r="O1" s="576"/>
      <c r="P1" s="576"/>
      <c r="Q1" s="576"/>
      <c r="R1" s="576"/>
      <c r="S1" s="576"/>
      <c r="T1" s="576"/>
      <c r="U1" s="576"/>
      <c r="V1" s="576"/>
      <c r="W1" s="576"/>
      <c r="X1" s="576"/>
      <c r="Y1" s="576"/>
      <c r="Z1" s="576"/>
      <c r="AA1" s="576"/>
      <c r="AB1" s="576"/>
      <c r="AC1" s="576"/>
      <c r="AD1" s="576"/>
      <c r="AE1" s="25"/>
      <c r="AF1" s="25"/>
      <c r="AG1" s="25"/>
      <c r="AH1" s="25"/>
      <c r="AI1" s="25"/>
    </row>
    <row r="2" spans="1:35" ht="30.75" customHeight="1" x14ac:dyDescent="0.25">
      <c r="A2" s="576" t="str">
        <f>'[1]נספח 4 א'' - פיטורים'!A2:AD2</f>
        <v>מועצה מקומית עוספייה</v>
      </c>
      <c r="B2" s="576"/>
      <c r="C2" s="576"/>
      <c r="D2" s="576"/>
      <c r="E2" s="576"/>
      <c r="F2" s="576"/>
      <c r="G2" s="576"/>
      <c r="H2" s="576"/>
      <c r="I2" s="576"/>
      <c r="J2" s="576"/>
      <c r="K2" s="576"/>
      <c r="L2" s="576"/>
      <c r="M2" s="576"/>
      <c r="N2" s="576"/>
      <c r="O2" s="576"/>
      <c r="P2" s="576"/>
      <c r="Q2" s="576"/>
      <c r="R2" s="576"/>
      <c r="S2" s="576"/>
      <c r="T2" s="576"/>
      <c r="U2" s="576"/>
      <c r="V2" s="576"/>
      <c r="W2" s="576"/>
      <c r="X2" s="576"/>
      <c r="Y2" s="576"/>
      <c r="Z2" s="576"/>
      <c r="AA2" s="576"/>
      <c r="AB2" s="576"/>
      <c r="AC2" s="576"/>
      <c r="AD2" s="576"/>
      <c r="AE2" s="25"/>
      <c r="AF2" s="25"/>
      <c r="AG2" s="25"/>
      <c r="AH2" s="25"/>
      <c r="AI2" s="25"/>
    </row>
    <row r="3" spans="1:35" s="62" customFormat="1" ht="76.5" customHeight="1" x14ac:dyDescent="0.2">
      <c r="A3" s="328" t="s">
        <v>190</v>
      </c>
      <c r="B3" s="328" t="s">
        <v>191</v>
      </c>
      <c r="C3" s="368" t="s">
        <v>192</v>
      </c>
      <c r="D3" s="328" t="s">
        <v>193</v>
      </c>
      <c r="E3" s="328" t="s">
        <v>194</v>
      </c>
      <c r="F3" s="328" t="s">
        <v>195</v>
      </c>
      <c r="G3" s="328" t="s">
        <v>196</v>
      </c>
      <c r="H3" s="328" t="s">
        <v>197</v>
      </c>
      <c r="I3" s="328" t="s">
        <v>219</v>
      </c>
      <c r="J3" s="328" t="s">
        <v>199</v>
      </c>
      <c r="K3" s="328" t="s">
        <v>200</v>
      </c>
      <c r="L3" s="328" t="s">
        <v>201</v>
      </c>
      <c r="M3" s="328" t="s">
        <v>220</v>
      </c>
      <c r="N3" s="328" t="s">
        <v>203</v>
      </c>
      <c r="O3" s="328" t="s">
        <v>204</v>
      </c>
      <c r="P3" s="328" t="s">
        <v>205</v>
      </c>
      <c r="Q3" s="328" t="s">
        <v>206</v>
      </c>
      <c r="R3" s="328" t="s">
        <v>207</v>
      </c>
      <c r="S3" s="328" t="s">
        <v>208</v>
      </c>
      <c r="T3" s="328" t="s">
        <v>221</v>
      </c>
      <c r="U3" s="580" t="s">
        <v>210</v>
      </c>
      <c r="V3" s="580"/>
      <c r="W3" s="580" t="s">
        <v>211</v>
      </c>
      <c r="X3" s="580"/>
      <c r="Y3" s="580" t="s">
        <v>222</v>
      </c>
      <c r="Z3" s="580"/>
      <c r="AA3" s="580" t="s">
        <v>223</v>
      </c>
      <c r="AB3" s="580"/>
      <c r="AC3" s="580"/>
      <c r="AD3" s="580" t="s">
        <v>213</v>
      </c>
      <c r="AE3" s="580"/>
      <c r="AF3" s="580" t="s">
        <v>224</v>
      </c>
      <c r="AG3" s="580"/>
      <c r="AH3" s="368" t="s">
        <v>116</v>
      </c>
      <c r="AI3" s="368" t="s">
        <v>83</v>
      </c>
    </row>
    <row r="4" spans="1:35" s="62" customFormat="1" ht="63" x14ac:dyDescent="0.2">
      <c r="A4" s="368"/>
      <c r="B4" s="328"/>
      <c r="C4" s="368"/>
      <c r="D4" s="368"/>
      <c r="E4" s="368"/>
      <c r="F4" s="368"/>
      <c r="G4" s="368"/>
      <c r="H4" s="368"/>
      <c r="I4" s="368"/>
      <c r="J4" s="368"/>
      <c r="K4" s="368"/>
      <c r="L4" s="368"/>
      <c r="M4" s="368"/>
      <c r="N4" s="368"/>
      <c r="O4" s="368"/>
      <c r="P4" s="368"/>
      <c r="Q4" s="368"/>
      <c r="R4" s="368"/>
      <c r="S4" s="368"/>
      <c r="T4" s="368"/>
      <c r="U4" s="368" t="s">
        <v>214</v>
      </c>
      <c r="V4" s="368" t="s">
        <v>215</v>
      </c>
      <c r="W4" s="368" t="s">
        <v>216</v>
      </c>
      <c r="X4" s="368" t="s">
        <v>215</v>
      </c>
      <c r="Y4" s="368" t="s">
        <v>214</v>
      </c>
      <c r="Z4" s="368" t="s">
        <v>215</v>
      </c>
      <c r="AA4" s="368" t="s">
        <v>225</v>
      </c>
      <c r="AB4" s="328" t="s">
        <v>226</v>
      </c>
      <c r="AC4" s="328" t="s">
        <v>227</v>
      </c>
      <c r="AD4" s="368" t="s">
        <v>214</v>
      </c>
      <c r="AE4" s="368" t="s">
        <v>215</v>
      </c>
      <c r="AF4" s="368" t="s">
        <v>216</v>
      </c>
      <c r="AG4" s="368" t="s">
        <v>215</v>
      </c>
      <c r="AH4" s="368"/>
      <c r="AI4" s="368"/>
    </row>
    <row r="5" spans="1:35" ht="31.5" x14ac:dyDescent="0.25">
      <c r="A5" s="350">
        <v>1</v>
      </c>
      <c r="B5" s="351">
        <v>5440403</v>
      </c>
      <c r="C5" s="351" t="s">
        <v>938</v>
      </c>
      <c r="D5" s="351" t="s">
        <v>939</v>
      </c>
      <c r="E5" s="351">
        <v>3.93</v>
      </c>
      <c r="F5" s="352">
        <v>43101</v>
      </c>
      <c r="G5" s="351">
        <v>23.3</v>
      </c>
      <c r="H5" s="351">
        <v>100</v>
      </c>
      <c r="I5" s="351">
        <v>60</v>
      </c>
      <c r="J5" s="353" t="s">
        <v>933</v>
      </c>
      <c r="K5" s="351">
        <v>7</v>
      </c>
      <c r="L5" s="351" t="s">
        <v>940</v>
      </c>
      <c r="M5" s="351">
        <v>9</v>
      </c>
      <c r="N5" s="351">
        <v>20</v>
      </c>
      <c r="O5" s="351">
        <v>20</v>
      </c>
      <c r="P5" s="351">
        <v>61.4</v>
      </c>
      <c r="Q5" s="351">
        <v>0</v>
      </c>
      <c r="R5" s="351" t="s">
        <v>941</v>
      </c>
      <c r="S5" s="351">
        <v>6249.4</v>
      </c>
      <c r="T5" s="351">
        <v>6249.4</v>
      </c>
      <c r="U5" s="351">
        <v>4</v>
      </c>
      <c r="V5" s="354">
        <v>24997.200000000001</v>
      </c>
      <c r="W5" s="351">
        <v>2</v>
      </c>
      <c r="X5" s="354">
        <v>12498.6</v>
      </c>
      <c r="Y5" s="351">
        <v>0</v>
      </c>
      <c r="Z5" s="354">
        <v>0</v>
      </c>
      <c r="AA5" s="351">
        <v>47</v>
      </c>
      <c r="AB5" s="351">
        <v>8</v>
      </c>
      <c r="AC5" s="351">
        <v>0</v>
      </c>
      <c r="AD5" s="351">
        <v>21.5</v>
      </c>
      <c r="AE5" s="354">
        <f>6154.81+1528</f>
        <v>7682.81</v>
      </c>
      <c r="AF5" s="351">
        <v>2.87</v>
      </c>
      <c r="AG5" s="354">
        <v>821.59</v>
      </c>
      <c r="AH5" s="354">
        <f>V5+X5+Z5+AE5+AG5</f>
        <v>46000.2</v>
      </c>
      <c r="AI5" s="351">
        <v>82016</v>
      </c>
    </row>
    <row r="6" spans="1:35" ht="31.5" x14ac:dyDescent="0.25">
      <c r="A6" s="343">
        <v>2</v>
      </c>
      <c r="B6" s="344">
        <v>2824491</v>
      </c>
      <c r="C6" s="344" t="s">
        <v>942</v>
      </c>
      <c r="D6" s="344" t="s">
        <v>943</v>
      </c>
      <c r="E6" s="344">
        <v>4.95</v>
      </c>
      <c r="F6" s="345">
        <v>42736</v>
      </c>
      <c r="G6" s="344">
        <v>21.4</v>
      </c>
      <c r="H6" s="344">
        <v>59</v>
      </c>
      <c r="I6" s="344">
        <v>44</v>
      </c>
      <c r="J6" s="355"/>
      <c r="K6" s="344">
        <v>4</v>
      </c>
      <c r="L6" s="344">
        <v>7</v>
      </c>
      <c r="M6" s="344">
        <v>9</v>
      </c>
      <c r="N6" s="344">
        <v>0</v>
      </c>
      <c r="O6" s="344">
        <v>20</v>
      </c>
      <c r="P6" s="344">
        <v>0</v>
      </c>
      <c r="Q6" s="344">
        <v>0</v>
      </c>
      <c r="R6" s="344" t="s">
        <v>944</v>
      </c>
      <c r="S6" s="344">
        <v>3661.05</v>
      </c>
      <c r="T6" s="344">
        <v>3587.83</v>
      </c>
      <c r="U6" s="344">
        <v>4</v>
      </c>
      <c r="V6" s="346">
        <v>14351.32</v>
      </c>
      <c r="W6" s="344">
        <v>2</v>
      </c>
      <c r="X6" s="346">
        <v>7175.66</v>
      </c>
      <c r="Y6" s="344">
        <v>6.32</v>
      </c>
      <c r="Z6" s="346">
        <v>22667.61</v>
      </c>
      <c r="AA6" s="344">
        <v>25.26</v>
      </c>
      <c r="AB6" s="344">
        <v>8</v>
      </c>
      <c r="AC6" s="344">
        <v>0</v>
      </c>
      <c r="AD6" s="344">
        <v>16.5</v>
      </c>
      <c r="AE6" s="346">
        <v>4612.91</v>
      </c>
      <c r="AF6" s="344">
        <v>22.16</v>
      </c>
      <c r="AG6" s="346">
        <v>6195.27</v>
      </c>
      <c r="AH6" s="346">
        <f t="shared" ref="AH6:AH20" si="0">V6+X6+Z6+AE6+AG6</f>
        <v>55002.770000000004</v>
      </c>
      <c r="AI6" s="344">
        <v>82016</v>
      </c>
    </row>
    <row r="7" spans="1:35" ht="31.5" x14ac:dyDescent="0.25">
      <c r="A7" s="343">
        <v>3</v>
      </c>
      <c r="B7" s="344">
        <v>5703234</v>
      </c>
      <c r="C7" s="344" t="s">
        <v>945</v>
      </c>
      <c r="D7" s="344" t="s">
        <v>914</v>
      </c>
      <c r="E7" s="344">
        <v>1.0900000000000001</v>
      </c>
      <c r="F7" s="345">
        <v>42736</v>
      </c>
      <c r="G7" s="344">
        <v>6.1</v>
      </c>
      <c r="H7" s="344">
        <v>0</v>
      </c>
      <c r="I7" s="344">
        <v>0</v>
      </c>
      <c r="J7" s="355">
        <v>0</v>
      </c>
      <c r="K7" s="344">
        <v>0</v>
      </c>
      <c r="L7" s="344">
        <v>0</v>
      </c>
      <c r="M7" s="344">
        <v>0</v>
      </c>
      <c r="N7" s="344">
        <v>0</v>
      </c>
      <c r="O7" s="344">
        <v>0</v>
      </c>
      <c r="P7" s="344">
        <v>0</v>
      </c>
      <c r="Q7" s="344">
        <v>0</v>
      </c>
      <c r="R7" s="344">
        <v>0</v>
      </c>
      <c r="S7" s="344">
        <v>2900.15</v>
      </c>
      <c r="T7" s="344">
        <v>2900.15</v>
      </c>
      <c r="U7" s="344">
        <v>1</v>
      </c>
      <c r="V7" s="346">
        <v>2900.15</v>
      </c>
      <c r="W7" s="344">
        <v>1</v>
      </c>
      <c r="X7" s="346">
        <v>2900.15</v>
      </c>
      <c r="Y7" s="344">
        <v>0</v>
      </c>
      <c r="Z7" s="346">
        <v>0</v>
      </c>
      <c r="AA7" s="344">
        <v>0</v>
      </c>
      <c r="AB7" s="344">
        <v>0</v>
      </c>
      <c r="AC7" s="344">
        <v>0</v>
      </c>
      <c r="AD7" s="344">
        <v>24.1</v>
      </c>
      <c r="AE7" s="346">
        <f>5824.97+6622</f>
        <v>12446.970000000001</v>
      </c>
      <c r="AF7" s="344">
        <v>15.53</v>
      </c>
      <c r="AG7" s="346">
        <v>3753.6</v>
      </c>
      <c r="AH7" s="346">
        <f t="shared" si="0"/>
        <v>22000.87</v>
      </c>
      <c r="AI7" s="344" t="s">
        <v>946</v>
      </c>
    </row>
    <row r="8" spans="1:35" ht="31.5" x14ac:dyDescent="0.25">
      <c r="A8" s="343">
        <v>4</v>
      </c>
      <c r="B8" s="344">
        <v>5763016</v>
      </c>
      <c r="C8" s="344" t="s">
        <v>947</v>
      </c>
      <c r="D8" s="344" t="s">
        <v>912</v>
      </c>
      <c r="E8" s="344">
        <v>9.85</v>
      </c>
      <c r="F8" s="345">
        <v>42736</v>
      </c>
      <c r="G8" s="344">
        <v>30.9</v>
      </c>
      <c r="H8" s="344">
        <v>86</v>
      </c>
      <c r="I8" s="344">
        <v>55</v>
      </c>
      <c r="J8" s="355" t="s">
        <v>948</v>
      </c>
      <c r="K8" s="344">
        <v>1</v>
      </c>
      <c r="L8" s="344">
        <v>1</v>
      </c>
      <c r="M8" s="344">
        <v>1</v>
      </c>
      <c r="N8" s="344" t="s">
        <v>949</v>
      </c>
      <c r="O8" s="344">
        <v>29</v>
      </c>
      <c r="P8" s="344">
        <v>0</v>
      </c>
      <c r="Q8" s="344">
        <v>56.35</v>
      </c>
      <c r="R8" s="344" t="s">
        <v>944</v>
      </c>
      <c r="S8" s="344">
        <v>7778.5</v>
      </c>
      <c r="T8" s="344">
        <v>7778.5</v>
      </c>
      <c r="U8" s="344">
        <v>4</v>
      </c>
      <c r="V8" s="346">
        <v>31114</v>
      </c>
      <c r="W8" s="344">
        <v>2</v>
      </c>
      <c r="X8" s="346">
        <v>15557</v>
      </c>
      <c r="Y8" s="344">
        <v>3.95</v>
      </c>
      <c r="Z8" s="346">
        <v>30694.959999999999</v>
      </c>
      <c r="AA8" s="344">
        <v>53.18</v>
      </c>
      <c r="AB8" s="344">
        <v>8</v>
      </c>
      <c r="AC8" s="344">
        <v>0</v>
      </c>
      <c r="AD8" s="344">
        <v>16.7</v>
      </c>
      <c r="AE8" s="346">
        <f>6320.62+4135</f>
        <v>10455.619999999999</v>
      </c>
      <c r="AF8" s="344">
        <v>27.6</v>
      </c>
      <c r="AG8" s="346">
        <v>10446.049999999999</v>
      </c>
      <c r="AH8" s="346">
        <f t="shared" si="0"/>
        <v>98267.62999999999</v>
      </c>
      <c r="AI8" s="344">
        <v>82016</v>
      </c>
    </row>
    <row r="9" spans="1:35" ht="31.5" x14ac:dyDescent="0.25">
      <c r="A9" s="350">
        <v>5</v>
      </c>
      <c r="B9" s="351">
        <v>5760408</v>
      </c>
      <c r="C9" s="351" t="s">
        <v>950</v>
      </c>
      <c r="D9" s="351" t="s">
        <v>917</v>
      </c>
      <c r="E9" s="351">
        <v>7.85</v>
      </c>
      <c r="F9" s="352">
        <v>43101</v>
      </c>
      <c r="G9" s="351">
        <v>30.9</v>
      </c>
      <c r="H9" s="351">
        <v>100</v>
      </c>
      <c r="I9" s="351">
        <v>52</v>
      </c>
      <c r="J9" s="353" t="s">
        <v>951</v>
      </c>
      <c r="K9" s="351" t="s">
        <v>948</v>
      </c>
      <c r="L9" s="351" t="s">
        <v>951</v>
      </c>
      <c r="M9" s="351" t="s">
        <v>951</v>
      </c>
      <c r="N9" s="351">
        <v>9</v>
      </c>
      <c r="O9" s="351">
        <v>40.9</v>
      </c>
      <c r="P9" s="351">
        <v>0</v>
      </c>
      <c r="Q9" s="351">
        <v>0</v>
      </c>
      <c r="R9" s="351" t="s">
        <v>944</v>
      </c>
      <c r="S9" s="351">
        <v>10967.09</v>
      </c>
      <c r="T9" s="351">
        <v>10967.09</v>
      </c>
      <c r="U9" s="351">
        <v>4</v>
      </c>
      <c r="V9" s="354">
        <v>43868.160000000003</v>
      </c>
      <c r="W9" s="351">
        <v>2</v>
      </c>
      <c r="X9" s="354">
        <v>21934.18</v>
      </c>
      <c r="Y9" s="351">
        <v>0</v>
      </c>
      <c r="Z9" s="354">
        <v>0</v>
      </c>
      <c r="AA9" s="351">
        <v>61.8</v>
      </c>
      <c r="AB9" s="351">
        <v>8</v>
      </c>
      <c r="AC9" s="351">
        <v>0</v>
      </c>
      <c r="AD9" s="351">
        <v>35.700000000000003</v>
      </c>
      <c r="AE9" s="354">
        <f>17715.41+6778</f>
        <v>24493.41</v>
      </c>
      <c r="AF9" s="351">
        <v>120.5</v>
      </c>
      <c r="AG9" s="354">
        <v>59795.72</v>
      </c>
      <c r="AH9" s="354">
        <f t="shared" si="0"/>
        <v>150091.47</v>
      </c>
      <c r="AI9" s="351">
        <v>82016</v>
      </c>
    </row>
    <row r="10" spans="1:35" ht="31.5" x14ac:dyDescent="0.25">
      <c r="A10" s="343">
        <v>6</v>
      </c>
      <c r="B10" s="344">
        <v>5517362</v>
      </c>
      <c r="C10" s="344" t="s">
        <v>952</v>
      </c>
      <c r="D10" s="344" t="s">
        <v>377</v>
      </c>
      <c r="E10" s="348">
        <v>8.9</v>
      </c>
      <c r="F10" s="345">
        <v>42736</v>
      </c>
      <c r="G10" s="344">
        <v>26</v>
      </c>
      <c r="H10" s="344">
        <v>100</v>
      </c>
      <c r="I10" s="344">
        <v>58</v>
      </c>
      <c r="J10" s="355">
        <v>42682</v>
      </c>
      <c r="K10" s="344">
        <v>9</v>
      </c>
      <c r="L10" s="344" t="s">
        <v>953</v>
      </c>
      <c r="M10" s="344" t="s">
        <v>954</v>
      </c>
      <c r="N10" s="344">
        <v>0</v>
      </c>
      <c r="O10" s="344">
        <v>14.3</v>
      </c>
      <c r="P10" s="344">
        <v>200</v>
      </c>
      <c r="Q10" s="344">
        <v>1000</v>
      </c>
      <c r="R10" s="344" t="s">
        <v>941</v>
      </c>
      <c r="S10" s="344">
        <v>9989.9500000000007</v>
      </c>
      <c r="T10" s="344">
        <v>9989.9500000000007</v>
      </c>
      <c r="U10" s="344">
        <v>4</v>
      </c>
      <c r="V10" s="346">
        <v>39959.800000000003</v>
      </c>
      <c r="W10" s="344">
        <v>2</v>
      </c>
      <c r="X10" s="346">
        <v>19979.900000000001</v>
      </c>
      <c r="Y10" s="344">
        <v>5.97</v>
      </c>
      <c r="Z10" s="346">
        <v>59640</v>
      </c>
      <c r="AA10" s="344">
        <v>60.17</v>
      </c>
      <c r="AB10" s="344">
        <v>8</v>
      </c>
      <c r="AC10" s="344">
        <v>0</v>
      </c>
      <c r="AD10" s="344">
        <v>55</v>
      </c>
      <c r="AE10" s="346">
        <f>22596.75+19</f>
        <v>22615.75</v>
      </c>
      <c r="AF10" s="344">
        <v>113.07</v>
      </c>
      <c r="AG10" s="346">
        <v>46454.81</v>
      </c>
      <c r="AH10" s="346">
        <f t="shared" si="0"/>
        <v>188650.26</v>
      </c>
      <c r="AI10" s="344" t="s">
        <v>955</v>
      </c>
    </row>
    <row r="11" spans="1:35" ht="47.25" x14ac:dyDescent="0.25">
      <c r="A11" s="350">
        <v>7</v>
      </c>
      <c r="B11" s="351">
        <v>5575111</v>
      </c>
      <c r="C11" s="351" t="s">
        <v>956</v>
      </c>
      <c r="D11" s="351" t="s">
        <v>400</v>
      </c>
      <c r="E11" s="351">
        <v>7.97</v>
      </c>
      <c r="F11" s="352">
        <v>43101</v>
      </c>
      <c r="G11" s="351">
        <v>18.5</v>
      </c>
      <c r="H11" s="351">
        <v>98</v>
      </c>
      <c r="I11" s="351">
        <v>57</v>
      </c>
      <c r="J11" s="353">
        <v>42620</v>
      </c>
      <c r="K11" s="351">
        <v>3</v>
      </c>
      <c r="L11" s="351">
        <v>9</v>
      </c>
      <c r="M11" s="351">
        <v>11</v>
      </c>
      <c r="N11" s="351">
        <v>20</v>
      </c>
      <c r="O11" s="351">
        <v>0</v>
      </c>
      <c r="P11" s="351">
        <v>61.4</v>
      </c>
      <c r="Q11" s="351">
        <v>0</v>
      </c>
      <c r="R11" s="351" t="s">
        <v>941</v>
      </c>
      <c r="S11" s="351">
        <v>5970.05</v>
      </c>
      <c r="T11" s="351">
        <v>5970.05</v>
      </c>
      <c r="U11" s="351">
        <v>4</v>
      </c>
      <c r="V11" s="354">
        <v>23880.2</v>
      </c>
      <c r="W11" s="351">
        <v>2</v>
      </c>
      <c r="X11" s="354">
        <v>11940.1</v>
      </c>
      <c r="Y11" s="351">
        <v>8.1199999999999992</v>
      </c>
      <c r="Z11" s="354">
        <v>48460.959999999999</v>
      </c>
      <c r="AA11" s="351">
        <v>36.83</v>
      </c>
      <c r="AB11" s="351">
        <v>8</v>
      </c>
      <c r="AC11" s="351">
        <v>0</v>
      </c>
      <c r="AD11" s="351">
        <v>55</v>
      </c>
      <c r="AE11" s="354">
        <f>15046.35+2165</f>
        <v>17211.349999999999</v>
      </c>
      <c r="AF11" s="351">
        <v>81.760000000000005</v>
      </c>
      <c r="AG11" s="354">
        <v>22367.09</v>
      </c>
      <c r="AH11" s="354">
        <f t="shared" si="0"/>
        <v>123859.70000000001</v>
      </c>
      <c r="AI11" s="351">
        <v>82016</v>
      </c>
    </row>
    <row r="12" spans="1:35" ht="31.5" x14ac:dyDescent="0.25">
      <c r="A12" s="343">
        <v>8</v>
      </c>
      <c r="B12" s="344">
        <v>5625702</v>
      </c>
      <c r="C12" s="344" t="s">
        <v>957</v>
      </c>
      <c r="D12" s="344" t="s">
        <v>958</v>
      </c>
      <c r="E12" s="348">
        <v>10.9</v>
      </c>
      <c r="F12" s="345">
        <v>42736</v>
      </c>
      <c r="G12" s="344">
        <v>24.3</v>
      </c>
      <c r="H12" s="344">
        <v>100</v>
      </c>
      <c r="I12" s="344">
        <v>57</v>
      </c>
      <c r="J12" s="355">
        <v>42682</v>
      </c>
      <c r="K12" s="344">
        <v>8</v>
      </c>
      <c r="L12" s="344">
        <v>12</v>
      </c>
      <c r="M12" s="344" t="s">
        <v>954</v>
      </c>
      <c r="N12" s="344">
        <v>0</v>
      </c>
      <c r="O12" s="344">
        <v>0</v>
      </c>
      <c r="P12" s="344">
        <v>150</v>
      </c>
      <c r="Q12" s="344">
        <v>150</v>
      </c>
      <c r="R12" s="344" t="s">
        <v>941</v>
      </c>
      <c r="S12" s="344">
        <v>7841.4</v>
      </c>
      <c r="T12" s="344">
        <v>7841.4</v>
      </c>
      <c r="U12" s="344">
        <v>4</v>
      </c>
      <c r="V12" s="346">
        <v>31365.599999999999</v>
      </c>
      <c r="W12" s="344">
        <v>2</v>
      </c>
      <c r="X12" s="346">
        <v>15682.8</v>
      </c>
      <c r="Y12" s="344">
        <v>10.74</v>
      </c>
      <c r="Z12" s="346">
        <v>84249.89</v>
      </c>
      <c r="AA12" s="344">
        <v>51.83</v>
      </c>
      <c r="AB12" s="344">
        <v>8</v>
      </c>
      <c r="AC12" s="344">
        <v>0</v>
      </c>
      <c r="AD12" s="344">
        <v>12.5</v>
      </c>
      <c r="AE12" s="346">
        <f>4482.88+3811</f>
        <v>8293.880000000001</v>
      </c>
      <c r="AF12" s="344">
        <v>93.6</v>
      </c>
      <c r="AG12" s="346">
        <v>33567.769999999997</v>
      </c>
      <c r="AH12" s="346">
        <f t="shared" si="0"/>
        <v>173159.93999999997</v>
      </c>
      <c r="AI12" s="344">
        <v>82016</v>
      </c>
    </row>
    <row r="13" spans="1:35" ht="31.5" x14ac:dyDescent="0.25">
      <c r="A13" s="343">
        <v>9</v>
      </c>
      <c r="B13" s="344">
        <v>5987092</v>
      </c>
      <c r="C13" s="344" t="s">
        <v>959</v>
      </c>
      <c r="D13" s="344" t="s">
        <v>960</v>
      </c>
      <c r="E13" s="344">
        <v>3.93</v>
      </c>
      <c r="F13" s="345">
        <v>42736</v>
      </c>
      <c r="G13" s="344">
        <v>23</v>
      </c>
      <c r="H13" s="344">
        <v>100</v>
      </c>
      <c r="I13" s="344">
        <v>50</v>
      </c>
      <c r="J13" s="355">
        <v>42620</v>
      </c>
      <c r="K13" s="344">
        <v>6</v>
      </c>
      <c r="L13" s="344">
        <v>9</v>
      </c>
      <c r="M13" s="344">
        <v>11</v>
      </c>
      <c r="N13" s="344">
        <v>20</v>
      </c>
      <c r="O13" s="344">
        <v>20</v>
      </c>
      <c r="P13" s="344">
        <v>180</v>
      </c>
      <c r="Q13" s="344">
        <v>0</v>
      </c>
      <c r="R13" s="344" t="s">
        <v>941</v>
      </c>
      <c r="S13" s="344">
        <v>6400.85</v>
      </c>
      <c r="T13" s="344">
        <v>6400.85</v>
      </c>
      <c r="U13" s="344">
        <v>4</v>
      </c>
      <c r="V13" s="346">
        <v>25603.4</v>
      </c>
      <c r="W13" s="344">
        <v>2</v>
      </c>
      <c r="X13" s="346">
        <v>12801.7</v>
      </c>
      <c r="Y13" s="344">
        <v>11.75</v>
      </c>
      <c r="Z13" s="346">
        <v>75209.899999999994</v>
      </c>
      <c r="AA13" s="344">
        <v>47</v>
      </c>
      <c r="AB13" s="344">
        <v>8</v>
      </c>
      <c r="AC13" s="344">
        <v>0</v>
      </c>
      <c r="AD13" s="344">
        <v>42.6</v>
      </c>
      <c r="AE13" s="346">
        <f>12488.62+2915</f>
        <v>15403.62</v>
      </c>
      <c r="AF13" s="344">
        <v>1.4</v>
      </c>
      <c r="AG13" s="346">
        <v>410.42</v>
      </c>
      <c r="AH13" s="346">
        <f t="shared" si="0"/>
        <v>129429.04</v>
      </c>
      <c r="AI13" s="344">
        <v>82016</v>
      </c>
    </row>
    <row r="14" spans="1:35" ht="31.5" x14ac:dyDescent="0.25">
      <c r="A14" s="343">
        <v>10</v>
      </c>
      <c r="B14" s="344">
        <v>5443083</v>
      </c>
      <c r="C14" s="344" t="s">
        <v>961</v>
      </c>
      <c r="D14" s="344" t="s">
        <v>962</v>
      </c>
      <c r="E14" s="348">
        <v>8.9</v>
      </c>
      <c r="F14" s="345">
        <v>42736</v>
      </c>
      <c r="G14" s="344">
        <v>26.4</v>
      </c>
      <c r="H14" s="344">
        <v>100</v>
      </c>
      <c r="I14" s="344">
        <v>59</v>
      </c>
      <c r="J14" s="355" t="s">
        <v>951</v>
      </c>
      <c r="K14" s="344" t="s">
        <v>963</v>
      </c>
      <c r="L14" s="344" t="s">
        <v>964</v>
      </c>
      <c r="M14" s="344" t="s">
        <v>964</v>
      </c>
      <c r="N14" s="344">
        <v>40.700000000000003</v>
      </c>
      <c r="O14" s="344">
        <v>23.9</v>
      </c>
      <c r="P14" s="344">
        <v>0</v>
      </c>
      <c r="Q14" s="344">
        <v>4447</v>
      </c>
      <c r="R14" s="344" t="s">
        <v>934</v>
      </c>
      <c r="S14" s="344">
        <v>15068.37</v>
      </c>
      <c r="T14" s="344">
        <v>15068.4</v>
      </c>
      <c r="U14" s="344">
        <v>7</v>
      </c>
      <c r="V14" s="346">
        <v>105604.39</v>
      </c>
      <c r="W14" s="344">
        <v>2</v>
      </c>
      <c r="X14" s="346">
        <v>30172.74</v>
      </c>
      <c r="Y14" s="344">
        <v>2.6</v>
      </c>
      <c r="Z14" s="346">
        <v>39160</v>
      </c>
      <c r="AA14" s="344">
        <v>53</v>
      </c>
      <c r="AB14" s="344">
        <v>0</v>
      </c>
      <c r="AC14" s="344">
        <v>0</v>
      </c>
      <c r="AD14" s="344">
        <v>55</v>
      </c>
      <c r="AE14" s="346">
        <v>24557</v>
      </c>
      <c r="AF14" s="344">
        <v>179.72</v>
      </c>
      <c r="AG14" s="346">
        <v>80252</v>
      </c>
      <c r="AH14" s="346">
        <f t="shared" si="0"/>
        <v>279746.13</v>
      </c>
      <c r="AI14" s="344">
        <v>82016</v>
      </c>
    </row>
    <row r="15" spans="1:35" ht="47.25" x14ac:dyDescent="0.25">
      <c r="A15" s="343">
        <v>11</v>
      </c>
      <c r="B15" s="344">
        <v>2750780</v>
      </c>
      <c r="C15" s="344" t="s">
        <v>988</v>
      </c>
      <c r="D15" s="344" t="s">
        <v>965</v>
      </c>
      <c r="E15" s="348">
        <v>12</v>
      </c>
      <c r="F15" s="345">
        <v>42736</v>
      </c>
      <c r="G15" s="344">
        <v>13.9</v>
      </c>
      <c r="H15" s="344">
        <v>70</v>
      </c>
      <c r="I15" s="344">
        <v>46</v>
      </c>
      <c r="J15" s="355">
        <v>0</v>
      </c>
      <c r="K15" s="344">
        <v>0</v>
      </c>
      <c r="L15" s="344">
        <v>0</v>
      </c>
      <c r="M15" s="344">
        <v>0</v>
      </c>
      <c r="N15" s="344">
        <v>0</v>
      </c>
      <c r="O15" s="344">
        <v>0</v>
      </c>
      <c r="P15" s="344">
        <v>0</v>
      </c>
      <c r="Q15" s="344">
        <v>0</v>
      </c>
      <c r="R15" s="344" t="s">
        <v>934</v>
      </c>
      <c r="S15" s="344">
        <v>5325.55</v>
      </c>
      <c r="T15" s="344">
        <v>5325.55</v>
      </c>
      <c r="U15" s="344">
        <v>0</v>
      </c>
      <c r="V15" s="346">
        <v>0</v>
      </c>
      <c r="W15" s="344">
        <v>2</v>
      </c>
      <c r="X15" s="346">
        <v>10651.1</v>
      </c>
      <c r="Y15" s="344">
        <v>0</v>
      </c>
      <c r="Z15" s="346">
        <v>48898</v>
      </c>
      <c r="AA15" s="344">
        <v>0</v>
      </c>
      <c r="AB15" s="344">
        <v>0</v>
      </c>
      <c r="AC15" s="344">
        <v>0</v>
      </c>
      <c r="AD15" s="344">
        <v>10.199999999999999</v>
      </c>
      <c r="AE15" s="346">
        <v>3150</v>
      </c>
      <c r="AF15" s="344">
        <v>0</v>
      </c>
      <c r="AG15" s="346">
        <v>0</v>
      </c>
      <c r="AH15" s="346">
        <f t="shared" si="0"/>
        <v>62699.1</v>
      </c>
      <c r="AI15" s="344" t="s">
        <v>966</v>
      </c>
    </row>
    <row r="16" spans="1:35" ht="31.5" x14ac:dyDescent="0.25">
      <c r="A16" s="343">
        <v>12</v>
      </c>
      <c r="B16" s="344">
        <v>5078925</v>
      </c>
      <c r="C16" s="344" t="s">
        <v>967</v>
      </c>
      <c r="D16" s="344" t="s">
        <v>968</v>
      </c>
      <c r="E16" s="348">
        <v>8.9</v>
      </c>
      <c r="F16" s="345">
        <v>42741</v>
      </c>
      <c r="G16" s="344">
        <v>21.5</v>
      </c>
      <c r="H16" s="344">
        <v>89</v>
      </c>
      <c r="I16" s="344">
        <v>64</v>
      </c>
      <c r="J16" s="355">
        <v>42556</v>
      </c>
      <c r="K16" s="344" t="s">
        <v>347</v>
      </c>
      <c r="L16" s="344">
        <v>7</v>
      </c>
      <c r="M16" s="344">
        <v>9</v>
      </c>
      <c r="N16" s="344">
        <v>0</v>
      </c>
      <c r="O16" s="344">
        <v>10</v>
      </c>
      <c r="P16" s="344">
        <v>0</v>
      </c>
      <c r="Q16" s="344">
        <v>0</v>
      </c>
      <c r="R16" s="344" t="s">
        <v>934</v>
      </c>
      <c r="S16" s="344">
        <v>5344.35</v>
      </c>
      <c r="T16" s="344">
        <v>5344.35</v>
      </c>
      <c r="U16" s="344">
        <v>4</v>
      </c>
      <c r="V16" s="346">
        <v>21377.4</v>
      </c>
      <c r="W16" s="344">
        <v>2</v>
      </c>
      <c r="X16" s="346">
        <v>10688.7</v>
      </c>
      <c r="Y16" s="344">
        <v>0</v>
      </c>
      <c r="Z16" s="346">
        <v>0</v>
      </c>
      <c r="AA16" s="344">
        <v>43</v>
      </c>
      <c r="AB16" s="344">
        <v>0</v>
      </c>
      <c r="AC16" s="344">
        <v>0</v>
      </c>
      <c r="AD16" s="344">
        <v>0</v>
      </c>
      <c r="AE16" s="346">
        <v>0</v>
      </c>
      <c r="AF16" s="344">
        <v>19.329999999999998</v>
      </c>
      <c r="AG16" s="346">
        <v>5318.84</v>
      </c>
      <c r="AH16" s="346">
        <f>V16+X16+Z16+AE16+AG16</f>
        <v>37384.94</v>
      </c>
      <c r="AI16" s="344">
        <v>82016</v>
      </c>
    </row>
    <row r="17" spans="1:35" ht="31.5" x14ac:dyDescent="0.25">
      <c r="A17" s="343">
        <v>13</v>
      </c>
      <c r="B17" s="344">
        <v>5043571</v>
      </c>
      <c r="C17" s="344" t="s">
        <v>969</v>
      </c>
      <c r="D17" s="344" t="s">
        <v>970</v>
      </c>
      <c r="E17" s="348">
        <v>9.9</v>
      </c>
      <c r="F17" s="345">
        <v>42741</v>
      </c>
      <c r="G17" s="344">
        <v>25.8</v>
      </c>
      <c r="H17" s="344">
        <v>73</v>
      </c>
      <c r="I17" s="344">
        <v>66</v>
      </c>
      <c r="J17" s="355">
        <v>42556</v>
      </c>
      <c r="K17" s="344">
        <v>5</v>
      </c>
      <c r="L17" s="344" t="s">
        <v>940</v>
      </c>
      <c r="M17" s="344">
        <v>9</v>
      </c>
      <c r="N17" s="344">
        <v>10</v>
      </c>
      <c r="O17" s="344">
        <v>10</v>
      </c>
      <c r="P17" s="344">
        <v>0</v>
      </c>
      <c r="Q17" s="344">
        <v>0</v>
      </c>
      <c r="R17" s="344" t="s">
        <v>934</v>
      </c>
      <c r="S17" s="344">
        <v>4553.8</v>
      </c>
      <c r="T17" s="344">
        <v>4553.8</v>
      </c>
      <c r="U17" s="344">
        <v>4</v>
      </c>
      <c r="V17" s="346">
        <v>18215.2</v>
      </c>
      <c r="W17" s="344">
        <v>2</v>
      </c>
      <c r="X17" s="346">
        <v>9107.6</v>
      </c>
      <c r="Y17" s="344">
        <v>0</v>
      </c>
      <c r="Z17" s="346">
        <v>0</v>
      </c>
      <c r="AA17" s="344">
        <v>37.67</v>
      </c>
      <c r="AB17" s="344">
        <v>0</v>
      </c>
      <c r="AC17" s="344">
        <v>0</v>
      </c>
      <c r="AD17" s="344">
        <v>0</v>
      </c>
      <c r="AE17" s="346">
        <v>0</v>
      </c>
      <c r="AF17" s="344">
        <v>36</v>
      </c>
      <c r="AG17" s="346">
        <f>10287.36+1390</f>
        <v>11677.36</v>
      </c>
      <c r="AH17" s="346">
        <f t="shared" si="0"/>
        <v>39000.160000000003</v>
      </c>
      <c r="AI17" s="344">
        <v>82016</v>
      </c>
    </row>
    <row r="18" spans="1:35" ht="31.5" x14ac:dyDescent="0.25">
      <c r="A18" s="343">
        <v>14</v>
      </c>
      <c r="B18" s="344">
        <v>5239197</v>
      </c>
      <c r="C18" s="344" t="s">
        <v>971</v>
      </c>
      <c r="D18" s="344" t="s">
        <v>972</v>
      </c>
      <c r="E18" s="344">
        <v>12.04</v>
      </c>
      <c r="F18" s="345">
        <v>42736</v>
      </c>
      <c r="G18" s="344">
        <v>11.7</v>
      </c>
      <c r="H18" s="344">
        <v>50</v>
      </c>
      <c r="I18" s="344">
        <v>63</v>
      </c>
      <c r="J18" s="355" t="s">
        <v>886</v>
      </c>
      <c r="K18" s="344">
        <v>0</v>
      </c>
      <c r="L18" s="344">
        <v>0</v>
      </c>
      <c r="M18" s="344">
        <v>0</v>
      </c>
      <c r="N18" s="344">
        <v>0</v>
      </c>
      <c r="O18" s="344">
        <v>0</v>
      </c>
      <c r="P18" s="344">
        <v>0</v>
      </c>
      <c r="Q18" s="344">
        <v>0</v>
      </c>
      <c r="R18" s="344" t="s">
        <v>934</v>
      </c>
      <c r="S18" s="344">
        <v>5382.91</v>
      </c>
      <c r="T18" s="344">
        <v>5382.91</v>
      </c>
      <c r="U18" s="344">
        <v>3</v>
      </c>
      <c r="V18" s="346">
        <v>16148.73</v>
      </c>
      <c r="W18" s="344">
        <v>2</v>
      </c>
      <c r="X18" s="346">
        <v>10765.82</v>
      </c>
      <c r="Y18" s="344">
        <v>0</v>
      </c>
      <c r="Z18" s="346">
        <v>0</v>
      </c>
      <c r="AA18" s="344">
        <v>0</v>
      </c>
      <c r="AB18" s="344">
        <v>0</v>
      </c>
      <c r="AC18" s="344">
        <v>0</v>
      </c>
      <c r="AD18" s="344">
        <v>24.1</v>
      </c>
      <c r="AE18" s="346">
        <v>11846.6</v>
      </c>
      <c r="AF18" s="344">
        <v>21.36</v>
      </c>
      <c r="AG18" s="346">
        <v>11482.84</v>
      </c>
      <c r="AH18" s="346">
        <f t="shared" si="0"/>
        <v>50243.990000000005</v>
      </c>
      <c r="AI18" s="344" t="s">
        <v>973</v>
      </c>
    </row>
    <row r="19" spans="1:35" ht="31.5" x14ac:dyDescent="0.25">
      <c r="A19" s="343">
        <v>15</v>
      </c>
      <c r="B19" s="344">
        <v>5250834</v>
      </c>
      <c r="C19" s="344" t="s">
        <v>974</v>
      </c>
      <c r="D19" s="344" t="s">
        <v>975</v>
      </c>
      <c r="E19" s="344">
        <v>9.98</v>
      </c>
      <c r="F19" s="345">
        <v>42736</v>
      </c>
      <c r="G19" s="344">
        <v>15.3</v>
      </c>
      <c r="H19" s="344">
        <v>68</v>
      </c>
      <c r="I19" s="344">
        <v>62</v>
      </c>
      <c r="J19" s="355">
        <v>42556</v>
      </c>
      <c r="K19" s="344">
        <v>0</v>
      </c>
      <c r="L19" s="344">
        <v>0</v>
      </c>
      <c r="M19" s="344">
        <v>0</v>
      </c>
      <c r="N19" s="344">
        <v>0</v>
      </c>
      <c r="O19" s="344">
        <v>0</v>
      </c>
      <c r="P19" s="344">
        <v>0</v>
      </c>
      <c r="Q19" s="344">
        <v>0</v>
      </c>
      <c r="R19" s="344" t="s">
        <v>934</v>
      </c>
      <c r="S19" s="344">
        <v>3979.55</v>
      </c>
      <c r="T19" s="344">
        <v>3979.55</v>
      </c>
      <c r="U19" s="344">
        <v>3</v>
      </c>
      <c r="V19" s="346">
        <v>11938.65</v>
      </c>
      <c r="W19" s="344">
        <v>2</v>
      </c>
      <c r="X19" s="346">
        <v>7959.1</v>
      </c>
      <c r="Y19" s="344">
        <v>0</v>
      </c>
      <c r="Z19" s="346">
        <v>0</v>
      </c>
      <c r="AA19" s="344">
        <v>0</v>
      </c>
      <c r="AB19" s="344">
        <v>0</v>
      </c>
      <c r="AC19" s="344">
        <v>0</v>
      </c>
      <c r="AD19" s="344">
        <v>11</v>
      </c>
      <c r="AE19" s="346">
        <v>2950.53</v>
      </c>
      <c r="AF19" s="344">
        <v>124.99</v>
      </c>
      <c r="AG19" s="346">
        <v>33526.07</v>
      </c>
      <c r="AH19" s="346">
        <f t="shared" si="0"/>
        <v>56374.35</v>
      </c>
      <c r="AI19" s="344" t="s">
        <v>966</v>
      </c>
    </row>
    <row r="20" spans="1:35" ht="47.25" x14ac:dyDescent="0.25">
      <c r="A20" s="343">
        <v>16</v>
      </c>
      <c r="B20" s="344">
        <v>5250845</v>
      </c>
      <c r="C20" s="344" t="s">
        <v>976</v>
      </c>
      <c r="D20" s="344" t="s">
        <v>977</v>
      </c>
      <c r="E20" s="348">
        <v>1</v>
      </c>
      <c r="F20" s="345">
        <v>42736</v>
      </c>
      <c r="G20" s="344">
        <v>16.600000000000001</v>
      </c>
      <c r="H20" s="344">
        <v>95</v>
      </c>
      <c r="I20" s="347"/>
      <c r="J20" s="355"/>
      <c r="K20" s="347"/>
      <c r="L20" s="347"/>
      <c r="M20" s="347"/>
      <c r="N20" s="347"/>
      <c r="O20" s="347"/>
      <c r="P20" s="347"/>
      <c r="Q20" s="347"/>
      <c r="R20" s="344" t="s">
        <v>941</v>
      </c>
      <c r="S20" s="344">
        <v>7095.85</v>
      </c>
      <c r="T20" s="344">
        <v>7095.85</v>
      </c>
      <c r="U20" s="344">
        <v>4</v>
      </c>
      <c r="V20" s="346">
        <v>28383.4</v>
      </c>
      <c r="W20" s="344">
        <v>2</v>
      </c>
      <c r="X20" s="346">
        <v>14191.3</v>
      </c>
      <c r="Y20" s="344">
        <v>0</v>
      </c>
      <c r="Z20" s="346">
        <v>89950</v>
      </c>
      <c r="AA20" s="344">
        <v>31.54</v>
      </c>
      <c r="AB20" s="344">
        <v>8</v>
      </c>
      <c r="AC20" s="344">
        <v>0</v>
      </c>
      <c r="AD20" s="344">
        <v>27.9</v>
      </c>
      <c r="AE20" s="346">
        <f>9060.25+2258</f>
        <v>11318.25</v>
      </c>
      <c r="AF20" s="344">
        <v>0</v>
      </c>
      <c r="AG20" s="346">
        <v>0</v>
      </c>
      <c r="AH20" s="346">
        <f t="shared" si="0"/>
        <v>143842.95000000001</v>
      </c>
      <c r="AI20" s="344">
        <v>82016</v>
      </c>
    </row>
    <row r="21" spans="1:35" s="29" customFormat="1" x14ac:dyDescent="0.25">
      <c r="A21" s="343" t="s">
        <v>116</v>
      </c>
      <c r="B21" s="343"/>
      <c r="C21" s="343"/>
      <c r="D21" s="343"/>
      <c r="E21" s="343"/>
      <c r="F21" s="343"/>
      <c r="G21" s="343"/>
      <c r="H21" s="343"/>
      <c r="I21" s="343"/>
      <c r="J21" s="343"/>
      <c r="K21" s="343"/>
      <c r="L21" s="356"/>
      <c r="M21" s="356"/>
      <c r="N21" s="356"/>
      <c r="O21" s="356"/>
      <c r="P21" s="356"/>
      <c r="Q21" s="356"/>
      <c r="R21" s="356"/>
      <c r="S21" s="356">
        <f t="shared" ref="S21:AG21" si="1">SUM(S5:S20)</f>
        <v>108508.82000000002</v>
      </c>
      <c r="T21" s="356">
        <f t="shared" si="1"/>
        <v>108435.63000000002</v>
      </c>
      <c r="U21" s="356">
        <f t="shared" si="1"/>
        <v>58</v>
      </c>
      <c r="V21" s="356">
        <f t="shared" si="1"/>
        <v>439707.60000000009</v>
      </c>
      <c r="W21" s="356">
        <f t="shared" si="1"/>
        <v>31</v>
      </c>
      <c r="X21" s="356">
        <f t="shared" si="1"/>
        <v>214006.45000000004</v>
      </c>
      <c r="Y21" s="356">
        <f t="shared" si="1"/>
        <v>49.45</v>
      </c>
      <c r="Z21" s="356">
        <f t="shared" si="1"/>
        <v>498931.31999999995</v>
      </c>
      <c r="AA21" s="356">
        <f t="shared" si="1"/>
        <v>548.28</v>
      </c>
      <c r="AB21" s="356">
        <f t="shared" si="1"/>
        <v>72</v>
      </c>
      <c r="AC21" s="356">
        <f t="shared" si="1"/>
        <v>0</v>
      </c>
      <c r="AD21" s="356">
        <f t="shared" si="1"/>
        <v>407.8</v>
      </c>
      <c r="AE21" s="356">
        <f t="shared" si="1"/>
        <v>177038.7</v>
      </c>
      <c r="AF21" s="356"/>
      <c r="AG21" s="356">
        <f t="shared" si="1"/>
        <v>326069.43000000005</v>
      </c>
      <c r="AH21" s="356">
        <f>SUM(AH5:AH20)</f>
        <v>1655753.4999999998</v>
      </c>
      <c r="AI21" s="343"/>
    </row>
    <row r="27" spans="1:35" x14ac:dyDescent="0.25">
      <c r="AD27" s="359"/>
      <c r="AE27" s="359"/>
      <c r="AF27" s="360">
        <f>AG21+AE21+Z21+X21+V21</f>
        <v>1655753.5</v>
      </c>
    </row>
    <row r="28" spans="1:35" x14ac:dyDescent="0.25">
      <c r="AD28" s="359"/>
      <c r="AE28" s="359">
        <v>2018</v>
      </c>
      <c r="AF28" s="360">
        <f>AG5+AG9+AG11+AE5+AE9+AE11+Z5+Z9+Z11+X5+X9+X11+V5+V9+V11</f>
        <v>319951.37000000005</v>
      </c>
    </row>
    <row r="29" spans="1:35" x14ac:dyDescent="0.25">
      <c r="AD29" s="359"/>
      <c r="AE29" s="359">
        <v>2017</v>
      </c>
      <c r="AF29" s="360">
        <f>AF27-AF28</f>
        <v>1335802.1299999999</v>
      </c>
    </row>
    <row r="30" spans="1:35" x14ac:dyDescent="0.25">
      <c r="AD30" s="359"/>
      <c r="AE30" s="359"/>
      <c r="AF30" s="359"/>
    </row>
  </sheetData>
  <mergeCells count="8">
    <mergeCell ref="AF3:AG3"/>
    <mergeCell ref="A1:AD1"/>
    <mergeCell ref="A2:AD2"/>
    <mergeCell ref="U3:V3"/>
    <mergeCell ref="W3:X3"/>
    <mergeCell ref="Y3:Z3"/>
    <mergeCell ref="AA3:AC3"/>
    <mergeCell ref="AD3:AE3"/>
  </mergeCells>
  <phoneticPr fontId="5" type="noConversion"/>
  <pageMargins left="0.23622047244094491" right="0.15748031496062992" top="0.39370078740157483" bottom="0.74803149606299213" header="0.31496062992125984" footer="0.31496062992125984"/>
  <pageSetup paperSize="9" scale="38" orientation="landscape" r:id="rId1"/>
  <headerFooter alignWithMargins="0">
    <oddFooter>&amp;L&amp;"David,מודגש"&amp;12&amp;P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IS35"/>
  <sheetViews>
    <sheetView showGridLines="0" rightToLeft="1" view="pageBreakPreview" topLeftCell="A2" zoomScaleNormal="100" zoomScaleSheetLayoutView="100" zoomScalePageLayoutView="90" workbookViewId="0">
      <selection activeCell="C24" sqref="C24"/>
    </sheetView>
  </sheetViews>
  <sheetFormatPr defaultRowHeight="15.75" x14ac:dyDescent="0.25"/>
  <cols>
    <col min="1" max="1" width="4.7109375" style="49" customWidth="1"/>
    <col min="2" max="2" width="33.5703125" style="49" bestFit="1" customWidth="1"/>
    <col min="3" max="3" width="7.7109375" style="49" customWidth="1"/>
    <col min="4" max="4" width="10.42578125" style="49" customWidth="1"/>
    <col min="5" max="5" width="9" style="49" customWidth="1"/>
    <col min="6" max="6" width="8.42578125" style="49" customWidth="1"/>
    <col min="7" max="7" width="12.85546875" style="49" hidden="1" customWidth="1"/>
    <col min="8" max="8" width="7.7109375" style="49" customWidth="1"/>
    <col min="9" max="9" width="10.140625" style="49" hidden="1" customWidth="1"/>
    <col min="10" max="11" width="7.7109375" style="49" customWidth="1"/>
    <col min="12" max="12" width="8.7109375" style="49" customWidth="1"/>
    <col min="13" max="13" width="27.28515625" style="49" customWidth="1"/>
    <col min="14" max="16384" width="9.140625" style="25"/>
  </cols>
  <sheetData>
    <row r="1" spans="1:253" x14ac:dyDescent="0.25">
      <c r="A1" s="584" t="s">
        <v>228</v>
      </c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</row>
    <row r="2" spans="1:253" ht="15.75" customHeight="1" x14ac:dyDescent="0.25">
      <c r="A2" s="584" t="str">
        <f>'[2]נספח 4 ב'' - פרישה'!A2:AD2</f>
        <v>מועצה מקומית עוספייה</v>
      </c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</row>
    <row r="4" spans="1:253" s="63" customFormat="1" ht="78.75" x14ac:dyDescent="0.25">
      <c r="A4" s="64" t="s">
        <v>920</v>
      </c>
      <c r="B4" s="64" t="s">
        <v>230</v>
      </c>
      <c r="C4" s="64" t="s">
        <v>1003</v>
      </c>
      <c r="D4" s="328" t="s">
        <v>231</v>
      </c>
      <c r="E4" s="328" t="s">
        <v>1004</v>
      </c>
      <c r="F4" s="328" t="s">
        <v>1007</v>
      </c>
      <c r="G4" s="328" t="s">
        <v>231</v>
      </c>
      <c r="H4" s="64" t="s">
        <v>1006</v>
      </c>
      <c r="I4" s="64" t="s">
        <v>232</v>
      </c>
      <c r="J4" s="328" t="s">
        <v>1008</v>
      </c>
      <c r="K4" s="64" t="s">
        <v>1005</v>
      </c>
      <c r="L4" s="328" t="s">
        <v>1009</v>
      </c>
      <c r="M4" s="64" t="s">
        <v>233</v>
      </c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  <c r="FS4" s="25"/>
      <c r="FT4" s="25"/>
      <c r="FU4" s="25"/>
      <c r="FV4" s="25"/>
      <c r="FW4" s="25"/>
      <c r="FX4" s="25"/>
      <c r="FY4" s="25"/>
      <c r="FZ4" s="25"/>
      <c r="GA4" s="25"/>
      <c r="GB4" s="25"/>
      <c r="GC4" s="25"/>
      <c r="GD4" s="25"/>
      <c r="GE4" s="25"/>
      <c r="GF4" s="25"/>
      <c r="GG4" s="25"/>
      <c r="GH4" s="25"/>
      <c r="GI4" s="25"/>
      <c r="GJ4" s="25"/>
      <c r="GK4" s="25"/>
      <c r="GL4" s="25"/>
      <c r="GM4" s="25"/>
      <c r="GN4" s="25"/>
      <c r="GO4" s="25"/>
      <c r="GP4" s="25"/>
      <c r="GQ4" s="25"/>
      <c r="GR4" s="25"/>
      <c r="GS4" s="25"/>
      <c r="GT4" s="25"/>
      <c r="GU4" s="25"/>
      <c r="GV4" s="25"/>
      <c r="GW4" s="25"/>
      <c r="GX4" s="25"/>
      <c r="GY4" s="25"/>
      <c r="GZ4" s="25"/>
      <c r="HA4" s="25"/>
      <c r="HB4" s="25"/>
      <c r="HC4" s="25"/>
      <c r="HD4" s="25"/>
      <c r="HE4" s="25"/>
      <c r="HF4" s="25"/>
      <c r="HG4" s="25"/>
      <c r="HH4" s="25"/>
      <c r="HI4" s="25"/>
      <c r="HJ4" s="25"/>
      <c r="HK4" s="25"/>
      <c r="HL4" s="25"/>
      <c r="HM4" s="25"/>
      <c r="HN4" s="25"/>
      <c r="HO4" s="25"/>
      <c r="HP4" s="25"/>
      <c r="HQ4" s="25"/>
      <c r="HR4" s="25"/>
      <c r="HS4" s="25"/>
      <c r="HT4" s="25"/>
      <c r="HU4" s="25"/>
      <c r="HV4" s="25"/>
      <c r="HW4" s="25"/>
      <c r="HX4" s="25"/>
      <c r="HY4" s="25"/>
      <c r="HZ4" s="25"/>
      <c r="IA4" s="25"/>
      <c r="IB4" s="25"/>
      <c r="IC4" s="25"/>
      <c r="ID4" s="25"/>
      <c r="IE4" s="25"/>
      <c r="IF4" s="25"/>
      <c r="IG4" s="25"/>
      <c r="IH4" s="25"/>
      <c r="II4" s="25"/>
      <c r="IJ4" s="25"/>
      <c r="IK4" s="25"/>
      <c r="IL4" s="25"/>
      <c r="IM4" s="25"/>
      <c r="IN4" s="25"/>
      <c r="IO4" s="25"/>
      <c r="IP4" s="25"/>
      <c r="IQ4" s="25"/>
      <c r="IR4" s="25"/>
      <c r="IS4" s="25"/>
    </row>
    <row r="5" spans="1:253" ht="25.5" customHeight="1" x14ac:dyDescent="0.25">
      <c r="A5" s="581" t="s">
        <v>234</v>
      </c>
      <c r="B5" s="582"/>
      <c r="C5" s="582"/>
      <c r="D5" s="582"/>
      <c r="E5" s="582"/>
      <c r="F5" s="582"/>
      <c r="G5" s="582"/>
      <c r="H5" s="582"/>
      <c r="I5" s="582"/>
      <c r="J5" s="582"/>
      <c r="K5" s="582"/>
      <c r="L5" s="582"/>
      <c r="M5" s="583"/>
    </row>
    <row r="6" spans="1:253" x14ac:dyDescent="0.25">
      <c r="A6" s="87">
        <v>62</v>
      </c>
      <c r="B6" s="87" t="s">
        <v>921</v>
      </c>
      <c r="C6" s="149">
        <v>1054</v>
      </c>
      <c r="D6" s="149">
        <v>991</v>
      </c>
      <c r="E6" s="149">
        <v>847</v>
      </c>
      <c r="F6" s="149">
        <f>E6-H6</f>
        <v>69</v>
      </c>
      <c r="G6" s="149">
        <v>721</v>
      </c>
      <c r="H6" s="149">
        <v>778</v>
      </c>
      <c r="I6" s="149">
        <f>43*2+214*2+75*2+118*2</f>
        <v>900</v>
      </c>
      <c r="J6" s="149">
        <f>E6-K6</f>
        <v>129</v>
      </c>
      <c r="K6" s="149">
        <v>718</v>
      </c>
      <c r="L6" s="149">
        <f>H6-K6</f>
        <v>60</v>
      </c>
      <c r="M6" s="86"/>
    </row>
    <row r="7" spans="1:253" x14ac:dyDescent="0.25">
      <c r="A7" s="87">
        <v>63</v>
      </c>
      <c r="B7" s="87" t="s">
        <v>922</v>
      </c>
      <c r="C7" s="149">
        <v>3719</v>
      </c>
      <c r="D7" s="149">
        <v>2009</v>
      </c>
      <c r="E7" s="149">
        <v>2469</v>
      </c>
      <c r="F7" s="149">
        <f t="shared" ref="F7:F13" si="0">E7-H7</f>
        <v>244</v>
      </c>
      <c r="G7" s="149">
        <v>3565</v>
      </c>
      <c r="H7" s="149">
        <v>2225</v>
      </c>
      <c r="I7" s="149">
        <f>1499*2+334*2</f>
        <v>3666</v>
      </c>
      <c r="J7" s="149">
        <f t="shared" ref="J7:J13" si="1">E7-K7</f>
        <v>2169</v>
      </c>
      <c r="K7" s="149">
        <v>300</v>
      </c>
      <c r="L7" s="149">
        <f t="shared" ref="L7:L13" si="2">H7-K7</f>
        <v>1925</v>
      </c>
      <c r="M7" s="86"/>
    </row>
    <row r="8" spans="1:253" x14ac:dyDescent="0.25">
      <c r="A8" s="87">
        <v>64</v>
      </c>
      <c r="B8" s="87" t="s">
        <v>128</v>
      </c>
      <c r="C8" s="149">
        <v>1321</v>
      </c>
      <c r="D8" s="149">
        <v>2202</v>
      </c>
      <c r="E8" s="149">
        <v>1349</v>
      </c>
      <c r="F8" s="149">
        <f t="shared" si="0"/>
        <v>-677</v>
      </c>
      <c r="G8" s="149">
        <v>8620</v>
      </c>
      <c r="H8" s="149">
        <v>2026</v>
      </c>
      <c r="I8" s="149">
        <v>8305</v>
      </c>
      <c r="J8" s="149">
        <f t="shared" si="1"/>
        <v>-3193</v>
      </c>
      <c r="K8" s="149">
        <v>4542</v>
      </c>
      <c r="L8" s="149">
        <f t="shared" si="2"/>
        <v>-2516</v>
      </c>
      <c r="M8" s="86"/>
    </row>
    <row r="9" spans="1:253" x14ac:dyDescent="0.25">
      <c r="A9" s="87">
        <v>71</v>
      </c>
      <c r="B9" s="87" t="s">
        <v>989</v>
      </c>
      <c r="C9" s="149">
        <v>408</v>
      </c>
      <c r="D9" s="149">
        <v>408</v>
      </c>
      <c r="E9" s="149">
        <v>260</v>
      </c>
      <c r="F9" s="149">
        <f t="shared" si="0"/>
        <v>-57</v>
      </c>
      <c r="G9" s="149">
        <v>421</v>
      </c>
      <c r="H9" s="149">
        <v>317</v>
      </c>
      <c r="I9" s="149"/>
      <c r="J9" s="149">
        <f t="shared" si="1"/>
        <v>260</v>
      </c>
      <c r="K9" s="149">
        <v>0</v>
      </c>
      <c r="L9" s="149">
        <f t="shared" si="2"/>
        <v>317</v>
      </c>
      <c r="M9" s="86"/>
    </row>
    <row r="10" spans="1:253" x14ac:dyDescent="0.25">
      <c r="A10" s="87">
        <v>73</v>
      </c>
      <c r="B10" s="361" t="s">
        <v>979</v>
      </c>
      <c r="C10" s="149">
        <v>0</v>
      </c>
      <c r="D10" s="149">
        <v>0</v>
      </c>
      <c r="E10" s="149">
        <v>0</v>
      </c>
      <c r="F10" s="149">
        <f t="shared" si="0"/>
        <v>0</v>
      </c>
      <c r="G10" s="149">
        <v>150</v>
      </c>
      <c r="H10" s="149">
        <v>0</v>
      </c>
      <c r="I10" s="149"/>
      <c r="J10" s="149">
        <f t="shared" si="1"/>
        <v>0</v>
      </c>
      <c r="K10" s="149">
        <v>0</v>
      </c>
      <c r="L10" s="149">
        <f t="shared" si="2"/>
        <v>0</v>
      </c>
      <c r="M10" s="86"/>
    </row>
    <row r="11" spans="1:253" x14ac:dyDescent="0.25">
      <c r="A11" s="87">
        <v>74</v>
      </c>
      <c r="B11" s="361" t="s">
        <v>990</v>
      </c>
      <c r="C11" s="149">
        <v>545</v>
      </c>
      <c r="D11" s="149">
        <v>590</v>
      </c>
      <c r="E11" s="149">
        <v>489</v>
      </c>
      <c r="F11" s="149">
        <f t="shared" si="0"/>
        <v>-1</v>
      </c>
      <c r="G11" s="149">
        <v>602</v>
      </c>
      <c r="H11" s="149">
        <v>490</v>
      </c>
      <c r="I11" s="149"/>
      <c r="J11" s="149">
        <f t="shared" si="1"/>
        <v>-1</v>
      </c>
      <c r="K11" s="149">
        <v>490</v>
      </c>
      <c r="L11" s="149">
        <f t="shared" si="2"/>
        <v>0</v>
      </c>
      <c r="M11" s="86"/>
    </row>
    <row r="12" spans="1:253" x14ac:dyDescent="0.25">
      <c r="A12" s="87">
        <v>91</v>
      </c>
      <c r="B12" s="87" t="s">
        <v>155</v>
      </c>
      <c r="C12" s="149">
        <v>11185</v>
      </c>
      <c r="D12" s="149">
        <v>8733</v>
      </c>
      <c r="E12" s="149">
        <v>8581</v>
      </c>
      <c r="F12" s="149">
        <f t="shared" si="0"/>
        <v>1851</v>
      </c>
      <c r="G12" s="149">
        <v>12044</v>
      </c>
      <c r="H12" s="149">
        <v>6730</v>
      </c>
      <c r="I12" s="149">
        <f>4738*2</f>
        <v>9476</v>
      </c>
      <c r="J12" s="149">
        <f t="shared" si="1"/>
        <v>8581</v>
      </c>
      <c r="K12" s="149">
        <v>0</v>
      </c>
      <c r="L12" s="149">
        <f t="shared" si="2"/>
        <v>6730</v>
      </c>
      <c r="M12" s="86"/>
    </row>
    <row r="13" spans="1:253" x14ac:dyDescent="0.25">
      <c r="A13" s="87">
        <v>97</v>
      </c>
      <c r="B13" s="87" t="s">
        <v>923</v>
      </c>
      <c r="C13" s="149">
        <v>2565</v>
      </c>
      <c r="D13" s="149">
        <v>2989</v>
      </c>
      <c r="E13" s="149">
        <v>2528</v>
      </c>
      <c r="F13" s="149">
        <f t="shared" si="0"/>
        <v>250</v>
      </c>
      <c r="G13" s="149">
        <v>3016</v>
      </c>
      <c r="H13" s="149">
        <v>2278</v>
      </c>
      <c r="I13" s="149">
        <f>1248*2</f>
        <v>2496</v>
      </c>
      <c r="J13" s="149">
        <f t="shared" si="1"/>
        <v>2528</v>
      </c>
      <c r="K13" s="149">
        <v>0</v>
      </c>
      <c r="L13" s="149">
        <f t="shared" si="2"/>
        <v>2278</v>
      </c>
      <c r="M13" s="86"/>
    </row>
    <row r="14" spans="1:253" x14ac:dyDescent="0.25">
      <c r="A14" s="334" t="s">
        <v>924</v>
      </c>
      <c r="B14" s="334"/>
      <c r="C14" s="335">
        <f t="shared" ref="C14:L14" si="3">SUM(C6:C13)</f>
        <v>20797</v>
      </c>
      <c r="D14" s="335">
        <f t="shared" si="3"/>
        <v>17922</v>
      </c>
      <c r="E14" s="335">
        <f t="shared" si="3"/>
        <v>16523</v>
      </c>
      <c r="F14" s="335">
        <f t="shared" si="3"/>
        <v>1679</v>
      </c>
      <c r="G14" s="335">
        <f t="shared" si="3"/>
        <v>29139</v>
      </c>
      <c r="H14" s="335">
        <f>SUM(H6:H13)</f>
        <v>14844</v>
      </c>
      <c r="I14" s="335">
        <f t="shared" si="3"/>
        <v>24843</v>
      </c>
      <c r="J14" s="335">
        <f t="shared" si="3"/>
        <v>10473</v>
      </c>
      <c r="K14" s="335">
        <f t="shared" si="3"/>
        <v>6050</v>
      </c>
      <c r="L14" s="335">
        <f t="shared" si="3"/>
        <v>8794</v>
      </c>
      <c r="M14" s="336"/>
    </row>
    <row r="15" spans="1:253" ht="25.5" customHeight="1" x14ac:dyDescent="0.25">
      <c r="A15" s="589" t="s">
        <v>42</v>
      </c>
      <c r="B15" s="590"/>
      <c r="C15" s="590"/>
      <c r="D15" s="590"/>
      <c r="E15" s="590"/>
      <c r="F15" s="590"/>
      <c r="G15" s="590"/>
      <c r="H15" s="590"/>
      <c r="I15" s="590"/>
      <c r="J15" s="590"/>
      <c r="K15" s="590"/>
      <c r="L15" s="590"/>
      <c r="M15" s="591"/>
    </row>
    <row r="16" spans="1:253" x14ac:dyDescent="0.25">
      <c r="A16" s="337">
        <v>81</v>
      </c>
      <c r="B16" s="337" t="s">
        <v>925</v>
      </c>
      <c r="C16" s="149">
        <v>621</v>
      </c>
      <c r="D16" s="149">
        <v>679</v>
      </c>
      <c r="E16" s="149">
        <v>618</v>
      </c>
      <c r="F16" s="149">
        <f t="shared" ref="F16:F18" si="4">C16-E16</f>
        <v>3</v>
      </c>
      <c r="G16" s="149">
        <v>504</v>
      </c>
      <c r="H16" s="149">
        <f>504+36+24</f>
        <v>564</v>
      </c>
      <c r="I16" s="149">
        <f>204*2+30</f>
        <v>438</v>
      </c>
      <c r="J16" s="149">
        <f t="shared" ref="J16:J17" si="5">E16-H16</f>
        <v>54</v>
      </c>
      <c r="K16" s="149">
        <v>564</v>
      </c>
      <c r="L16" s="149">
        <f t="shared" ref="L16:L17" si="6">H16-K16</f>
        <v>0</v>
      </c>
      <c r="M16" s="149"/>
    </row>
    <row r="17" spans="1:13" x14ac:dyDescent="0.25">
      <c r="A17" s="337">
        <v>81</v>
      </c>
      <c r="B17" s="337" t="s">
        <v>981</v>
      </c>
      <c r="C17" s="149">
        <v>135</v>
      </c>
      <c r="D17" s="149">
        <v>135</v>
      </c>
      <c r="E17" s="149">
        <v>135</v>
      </c>
      <c r="F17" s="149">
        <f t="shared" si="4"/>
        <v>0</v>
      </c>
      <c r="G17" s="149">
        <v>135</v>
      </c>
      <c r="H17" s="149">
        <v>135</v>
      </c>
      <c r="I17" s="149"/>
      <c r="J17" s="149">
        <f t="shared" si="5"/>
        <v>0</v>
      </c>
      <c r="K17" s="149">
        <v>135</v>
      </c>
      <c r="L17" s="149">
        <f t="shared" si="6"/>
        <v>0</v>
      </c>
      <c r="M17" s="149"/>
    </row>
    <row r="18" spans="1:13" x14ac:dyDescent="0.25">
      <c r="A18" s="337">
        <v>81</v>
      </c>
      <c r="B18" s="337" t="s">
        <v>980</v>
      </c>
      <c r="C18" s="149"/>
      <c r="D18" s="149"/>
      <c r="E18" s="149"/>
      <c r="F18" s="149">
        <f t="shared" si="4"/>
        <v>0</v>
      </c>
      <c r="G18" s="149">
        <v>81</v>
      </c>
      <c r="H18" s="149"/>
      <c r="I18" s="149">
        <f>204*2+30</f>
        <v>438</v>
      </c>
      <c r="J18" s="149">
        <f t="shared" ref="J18" si="7">E18-H18</f>
        <v>0</v>
      </c>
      <c r="K18" s="149"/>
      <c r="L18" s="149">
        <f t="shared" ref="L18" si="8">H18-K18</f>
        <v>0</v>
      </c>
      <c r="M18" s="149"/>
    </row>
    <row r="19" spans="1:13" s="338" customFormat="1" x14ac:dyDescent="0.25">
      <c r="A19" s="585" t="s">
        <v>924</v>
      </c>
      <c r="B19" s="586"/>
      <c r="C19" s="335">
        <f t="shared" ref="C19:L19" si="9">SUM(C16:C18)</f>
        <v>756</v>
      </c>
      <c r="D19" s="335">
        <f t="shared" si="9"/>
        <v>814</v>
      </c>
      <c r="E19" s="335">
        <f t="shared" si="9"/>
        <v>753</v>
      </c>
      <c r="F19" s="335">
        <f t="shared" si="9"/>
        <v>3</v>
      </c>
      <c r="G19" s="335">
        <f t="shared" si="9"/>
        <v>720</v>
      </c>
      <c r="H19" s="335">
        <f t="shared" si="9"/>
        <v>699</v>
      </c>
      <c r="I19" s="335">
        <f t="shared" si="9"/>
        <v>876</v>
      </c>
      <c r="J19" s="335">
        <f t="shared" si="9"/>
        <v>54</v>
      </c>
      <c r="K19" s="335">
        <f t="shared" si="9"/>
        <v>699</v>
      </c>
      <c r="L19" s="335">
        <f t="shared" si="9"/>
        <v>0</v>
      </c>
      <c r="M19" s="335"/>
    </row>
    <row r="20" spans="1:13" x14ac:dyDescent="0.25">
      <c r="A20" s="589" t="s">
        <v>45</v>
      </c>
      <c r="B20" s="590"/>
      <c r="C20" s="590"/>
      <c r="D20" s="590"/>
      <c r="E20" s="590"/>
      <c r="F20" s="590"/>
      <c r="G20" s="590"/>
      <c r="H20" s="590"/>
      <c r="I20" s="590"/>
      <c r="J20" s="590"/>
      <c r="K20" s="590"/>
      <c r="L20" s="590"/>
      <c r="M20" s="591"/>
    </row>
    <row r="21" spans="1:13" x14ac:dyDescent="0.25">
      <c r="A21" s="337">
        <v>84</v>
      </c>
      <c r="B21" s="337" t="s">
        <v>926</v>
      </c>
      <c r="C21" s="149">
        <v>10</v>
      </c>
      <c r="D21" s="149">
        <v>0</v>
      </c>
      <c r="E21" s="149">
        <v>0</v>
      </c>
      <c r="F21" s="149">
        <f t="shared" ref="F21:F23" si="10">C21-E21</f>
        <v>10</v>
      </c>
      <c r="G21" s="149">
        <v>24</v>
      </c>
      <c r="H21" s="149">
        <v>0</v>
      </c>
      <c r="I21" s="149">
        <v>20</v>
      </c>
      <c r="J21" s="149">
        <f t="shared" ref="J21:J23" si="11">E21-H21</f>
        <v>0</v>
      </c>
      <c r="K21" s="149">
        <v>0</v>
      </c>
      <c r="L21" s="149">
        <f t="shared" ref="L21:L23" si="12">H21-K21</f>
        <v>0</v>
      </c>
      <c r="M21" s="149"/>
    </row>
    <row r="22" spans="1:13" x14ac:dyDescent="0.25">
      <c r="A22" s="337">
        <v>84</v>
      </c>
      <c r="B22" s="337" t="s">
        <v>927</v>
      </c>
      <c r="C22" s="149">
        <v>45</v>
      </c>
      <c r="D22" s="149">
        <v>7</v>
      </c>
      <c r="E22" s="149">
        <v>56</v>
      </c>
      <c r="F22" s="149">
        <f t="shared" si="10"/>
        <v>-11</v>
      </c>
      <c r="G22" s="149">
        <v>40</v>
      </c>
      <c r="H22" s="149">
        <v>13</v>
      </c>
      <c r="I22" s="149">
        <f>16*2</f>
        <v>32</v>
      </c>
      <c r="J22" s="149">
        <f t="shared" si="11"/>
        <v>43</v>
      </c>
      <c r="K22" s="149">
        <v>13</v>
      </c>
      <c r="L22" s="149">
        <f t="shared" si="12"/>
        <v>0</v>
      </c>
      <c r="M22" s="149"/>
    </row>
    <row r="23" spans="1:13" x14ac:dyDescent="0.25">
      <c r="A23" s="337">
        <v>84</v>
      </c>
      <c r="B23" s="337" t="s">
        <v>928</v>
      </c>
      <c r="C23" s="149">
        <v>34</v>
      </c>
      <c r="D23" s="149">
        <v>60</v>
      </c>
      <c r="E23" s="149">
        <v>33</v>
      </c>
      <c r="F23" s="149">
        <f t="shared" si="10"/>
        <v>1</v>
      </c>
      <c r="G23" s="149">
        <f>10+25+2+10</f>
        <v>47</v>
      </c>
      <c r="H23" s="149">
        <v>33</v>
      </c>
      <c r="I23" s="149">
        <f>0+16*2+2+4</f>
        <v>38</v>
      </c>
      <c r="J23" s="149">
        <f t="shared" si="11"/>
        <v>0</v>
      </c>
      <c r="K23" s="149">
        <v>33</v>
      </c>
      <c r="L23" s="149">
        <f t="shared" si="12"/>
        <v>0</v>
      </c>
      <c r="M23" s="149"/>
    </row>
    <row r="24" spans="1:13" x14ac:dyDescent="0.25">
      <c r="A24" s="585" t="s">
        <v>116</v>
      </c>
      <c r="B24" s="586"/>
      <c r="C24" s="335">
        <f t="shared" ref="C24:L24" si="13">SUM(C21:C23)</f>
        <v>89</v>
      </c>
      <c r="D24" s="335">
        <f t="shared" si="13"/>
        <v>67</v>
      </c>
      <c r="E24" s="335">
        <f t="shared" si="13"/>
        <v>89</v>
      </c>
      <c r="F24" s="335">
        <f t="shared" si="13"/>
        <v>0</v>
      </c>
      <c r="G24" s="335">
        <f t="shared" si="13"/>
        <v>111</v>
      </c>
      <c r="H24" s="335">
        <f t="shared" si="13"/>
        <v>46</v>
      </c>
      <c r="I24" s="335">
        <f t="shared" si="13"/>
        <v>90</v>
      </c>
      <c r="J24" s="335">
        <f t="shared" si="13"/>
        <v>43</v>
      </c>
      <c r="K24" s="335">
        <f t="shared" si="13"/>
        <v>46</v>
      </c>
      <c r="L24" s="335">
        <f t="shared" si="13"/>
        <v>0</v>
      </c>
      <c r="M24" s="339"/>
    </row>
    <row r="25" spans="1:13" x14ac:dyDescent="0.25">
      <c r="A25" s="587" t="s">
        <v>235</v>
      </c>
      <c r="B25" s="588"/>
      <c r="C25" s="335">
        <f t="shared" ref="C25:L25" si="14">C14+C19+C24</f>
        <v>21642</v>
      </c>
      <c r="D25" s="335">
        <f t="shared" si="14"/>
        <v>18803</v>
      </c>
      <c r="E25" s="335">
        <f t="shared" si="14"/>
        <v>17365</v>
      </c>
      <c r="F25" s="335">
        <f t="shared" si="14"/>
        <v>1682</v>
      </c>
      <c r="G25" s="335">
        <f t="shared" si="14"/>
        <v>29970</v>
      </c>
      <c r="H25" s="335">
        <f t="shared" si="14"/>
        <v>15589</v>
      </c>
      <c r="I25" s="335">
        <f t="shared" si="14"/>
        <v>25809</v>
      </c>
      <c r="J25" s="335">
        <f t="shared" si="14"/>
        <v>10570</v>
      </c>
      <c r="K25" s="335">
        <f t="shared" si="14"/>
        <v>6795</v>
      </c>
      <c r="L25" s="335">
        <f t="shared" si="14"/>
        <v>8794</v>
      </c>
      <c r="M25" s="335"/>
    </row>
    <row r="26" spans="1:13" x14ac:dyDescent="0.25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</row>
    <row r="27" spans="1:13" x14ac:dyDescent="0.25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</row>
    <row r="28" spans="1:13" x14ac:dyDescent="0.25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</row>
    <row r="29" spans="1:13" x14ac:dyDescent="0.25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</row>
    <row r="30" spans="1:13" x14ac:dyDescent="0.25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</row>
    <row r="31" spans="1:13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</row>
    <row r="32" spans="1:13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</row>
    <row r="33" spans="1:13" x14ac:dyDescent="0.2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</row>
    <row r="34" spans="1:13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</row>
    <row r="35" spans="1:13" x14ac:dyDescent="0.2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</row>
  </sheetData>
  <mergeCells count="8">
    <mergeCell ref="A5:M5"/>
    <mergeCell ref="A1:M1"/>
    <mergeCell ref="A2:M2"/>
    <mergeCell ref="A24:B24"/>
    <mergeCell ref="A25:B25"/>
    <mergeCell ref="A15:M15"/>
    <mergeCell ref="A19:B19"/>
    <mergeCell ref="A20:M20"/>
  </mergeCells>
  <phoneticPr fontId="0" type="noConversion"/>
  <pageMargins left="0.23622047244094491" right="0.15748031496062992" top="0.39370078740157483" bottom="0.74803149606299213" header="0.31496062992125984" footer="0.31496062992125984"/>
  <pageSetup paperSize="9" scale="90" orientation="landscape" r:id="rId1"/>
  <headerFooter alignWithMargins="0">
    <oddFooter>&amp;L&amp;"David,מודגש"&amp;12&amp;P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GovXBasePageCT" ma:contentTypeID="0x010100C568DB52D9D0A14D9B2FDCC96666E9F2007948130EC3DB064584E219954237AF39002BFE54C67CE986429C120A58091102410013D6F68B9F82BB4E88A2DEE45B30FD25" ma:contentTypeVersion="85" ma:contentTypeDescription="" ma:contentTypeScope="" ma:versionID="3f58dd0c07b4f7ed583d7400b7ce1878">
  <xsd:schema xmlns:xsd="http://www.w3.org/2001/XMLSchema" xmlns:p="http://schemas.microsoft.com/office/2006/metadata/properties" xmlns:ns1="http://schemas.microsoft.com/sharepoint/v3" xmlns:ns2="fe384cf7-21cd-49eb-8bbb-71ed64f47de0" xmlns:ns4="70b9ac25-80dc-4aae-bf2d-2f8f91365860" targetNamespace="http://schemas.microsoft.com/office/2006/metadata/properties" ma:root="true" ma:fieldsID="f345e4363d8e29f1323d40999cebb020" ns1:_="" ns2:_="" ns4:_="">
    <xsd:import namespace="http://schemas.microsoft.com/sharepoint/v3"/>
    <xsd:import namespace="fe384cf7-21cd-49eb-8bbb-71ed64f47de0"/>
    <xsd:import namespace="70b9ac25-80dc-4aae-bf2d-2f8f91365860"/>
    <xsd:element name="properties">
      <xsd:complexType>
        <xsd:sequence>
          <xsd:element name="documentManagement">
            <xsd:complexType>
              <xsd:all>
                <xsd:element ref="ns1:Comments" minOccurs="0"/>
                <xsd:element ref="ns1:PublishingStartDate" minOccurs="0"/>
                <xsd:element ref="ns1:PublishingExpirationDate" minOccurs="0"/>
                <xsd:element ref="ns1:PublishingContact" minOccurs="0"/>
                <xsd:element ref="ns1:PublishingContactEmail" minOccurs="0"/>
                <xsd:element ref="ns1:PublishingContactName" minOccurs="0"/>
                <xsd:element ref="ns1:PublishingContactPicture" minOccurs="0"/>
                <xsd:element ref="ns1:PublishingPageLayout" minOccurs="0"/>
                <xsd:element ref="ns1:PublishingVariationGroupID" minOccurs="0"/>
                <xsd:element ref="ns1:PublishingVariationRelationshipLinkFieldID" minOccurs="0"/>
                <xsd:element ref="ns1:PublishingRollupImage" minOccurs="0"/>
                <xsd:element ref="ns1:Audience" minOccurs="0"/>
                <xsd:element ref="ns2:Availability" minOccurs="0"/>
                <xsd:element ref="ns2:Branch" minOccurs="0"/>
                <xsd:element ref="ns2:GovXAudience" minOccurs="0"/>
                <xsd:element ref="ns2:GovXLanguage" minOccurs="0"/>
                <xsd:element ref="ns2:GovXPublisher" minOccurs="0"/>
                <xsd:element ref="ns2:GovXRegion" minOccurs="0"/>
                <xsd:element ref="ns2:GovXUnits" minOccurs="0"/>
                <xsd:element ref="ns2:LiveEvent" minOccurs="0"/>
                <xsd:element ref="ns2:Rights" minOccurs="0"/>
                <xsd:element ref="ns2:Subjects" minOccurs="0"/>
                <xsd:element ref="ns2:Types" minOccurs="0"/>
                <xsd:element ref="ns2:Function" minOccurs="0"/>
                <xsd:element ref="ns2:UnitsType" minOccurs="0"/>
                <xsd:element ref="ns2:GovXRobotsFollow" minOccurs="0"/>
                <xsd:element ref="ns2:GovXRobotsIndex" minOccurs="0"/>
                <xsd:element ref="ns2:GovxID" minOccurs="0"/>
                <xsd:element ref="ns2:AddressType" minOccurs="0"/>
                <xsd:element ref="ns2:GovXMainTitle" minOccurs="0"/>
                <xsd:element ref="ns2:GovXConsumerLocation" minOccurs="0"/>
                <xsd:element ref="ns2:GovXJobDescription" minOccurs="0"/>
                <xsd:element ref="ns2:GovXStatus" minOccurs="0"/>
                <xsd:element ref="ns2:GovXDescription" minOccurs="0"/>
                <xsd:element ref="ns2:BranchType" minOccurs="0"/>
                <xsd:element ref="ns2:ResponsibleUnit" minOccurs="0"/>
                <xsd:element ref="ns2:GovXResponsibleOffice" minOccurs="0"/>
                <xsd:element ref="ns2:MoinUnits" minOccurs="0"/>
                <xsd:element ref="ns2:Subject1" minOccurs="0"/>
                <xsd:element ref="ns4:onLineLink" minOccurs="0"/>
                <xsd:element ref="ns4:explanationForService" minOccurs="0"/>
                <xsd:element ref="ns2:isCommonForm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Comments" ma:index="8" nillable="true" ma:displayName="תיאור" ma:internalName="Comments">
      <xsd:simpleType>
        <xsd:restriction base="dms:Note"/>
      </xsd:simpleType>
    </xsd:element>
    <xsd:element name="PublishingStartDate" ma:index="9" nillable="true" ma:displayName="מתזמן תאריך התחלה" ma:description="" ma:internalName="PublishingStartDate">
      <xsd:simpleType>
        <xsd:restriction base="dms:Unknown"/>
      </xsd:simpleType>
    </xsd:element>
    <xsd:element name="PublishingExpirationDate" ma:index="10" nillable="true" ma:displayName="מתזמן תאריך סיום" ma:description="" ma:internalName="PublishingExpirationDate">
      <xsd:simpleType>
        <xsd:restriction base="dms:Unknown"/>
      </xsd:simpleType>
    </xsd:element>
    <xsd:element name="PublishingContact" ma:index="11" nillable="true" ma:displayName="איש קשר" ma:description="" ma:list="UserInfo" ma:internalName="PublishingContac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ublishingContactEmail" ma:index="12" nillable="true" ma:displayName="כתובת הדואר האלקטרוני של איש הקשר" ma:description="" ma:internalName="PublishingContactEmail">
      <xsd:simpleType>
        <xsd:restriction base="dms:Text">
          <xsd:maxLength value="255"/>
        </xsd:restriction>
      </xsd:simpleType>
    </xsd:element>
    <xsd:element name="PublishingContactName" ma:index="13" nillable="true" ma:displayName="שם איש קשר" ma:description="" ma:internalName="PublishingContactName">
      <xsd:simpleType>
        <xsd:restriction base="dms:Text">
          <xsd:maxLength value="255"/>
        </xsd:restriction>
      </xsd:simpleType>
    </xsd:element>
    <xsd:element name="PublishingContactPicture" ma:index="14" nillable="true" ma:displayName="תמונת איש הקשר" ma:description="" ma:format="Image" ma:internalName="PublishingContactPictur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ingPageLayout" ma:index="15" nillable="true" ma:displayName="פריסת דף" ma:description="" ma:internalName="PublishingPageLayout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ingVariationGroupID" ma:index="16" nillable="true" ma:displayName="מזהה קבוצת וריאציות" ma:description="" ma:hidden="true" ma:internalName="PublishingVariationGroupID">
      <xsd:simpleType>
        <xsd:restriction base="dms:Text">
          <xsd:maxLength value="255"/>
        </xsd:restriction>
      </xsd:simpleType>
    </xsd:element>
    <xsd:element name="PublishingVariationRelationshipLinkFieldID" ma:index="17" nillable="true" ma:displayName="קישור יחסי גומלין של וריאציות" ma:description="" ma:hidden="true" ma:internalName="PublishingVariationRelationshipLinkFieldID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ingRollupImage" ma:index="18" nillable="true" ma:displayName="תמונת סיכום" ma:description="" ma:internalName="PublishingRollupImage">
      <xsd:simpleType>
        <xsd:restriction base="dms:Unknown"/>
      </xsd:simpleType>
    </xsd:element>
    <xsd:element name="Audience" ma:index="19" nillable="true" ma:displayName="קהלי יעד" ma:description="" ma:internalName="Audience">
      <xsd:simpleType>
        <xsd:restriction base="dms:Unknown"/>
      </xsd:simpleType>
    </xsd:element>
  </xsd:schema>
  <xsd:schema xmlns:xsd="http://www.w3.org/2001/XMLSchema" xmlns:dms="http://schemas.microsoft.com/office/2006/documentManagement/types" targetNamespace="fe384cf7-21cd-49eb-8bbb-71ed64f47de0" elementFormDefault="qualified">
    <xsd:import namespace="http://schemas.microsoft.com/office/2006/documentManagement/types"/>
    <xsd:element name="Availability" ma:index="20" nillable="true" ma:displayName="Availability" ma:hidden="true" ma:internalName="Availability" ma:readOnly="false">
      <xsd:simpleType>
        <xsd:restriction base="dms:Text">
          <xsd:maxLength value="255"/>
        </xsd:restriction>
      </xsd:simpleType>
    </xsd:element>
    <xsd:element name="Branch" ma:index="21" nillable="true" ma:displayName="Branch" ma:hidden="true" ma:internalName="Branch" ma:readOnly="false">
      <xsd:simpleType>
        <xsd:restriction base="dms:Note"/>
      </xsd:simpleType>
    </xsd:element>
    <xsd:element name="GovXAudience" ma:index="22" nillable="true" ma:displayName="GovXAudience" ma:internalName="GovXAudience" ma:readOnly="false">
      <xsd:simpleType>
        <xsd:restriction base="dms:Note"/>
      </xsd:simpleType>
    </xsd:element>
    <xsd:element name="GovXLanguage" ma:index="23" nillable="true" ma:displayName="GovXLanguage" ma:hidden="true" ma:internalName="GovXLanguage" ma:readOnly="false">
      <xsd:simpleType>
        <xsd:restriction base="dms:Text">
          <xsd:maxLength value="255"/>
        </xsd:restriction>
      </xsd:simpleType>
    </xsd:element>
    <xsd:element name="GovXPublisher" ma:index="24" nillable="true" ma:displayName="GovXPublisher" ma:hidden="true" ma:internalName="GovXPublisher" ma:readOnly="false">
      <xsd:simpleType>
        <xsd:restriction base="dms:Text">
          <xsd:maxLength value="255"/>
        </xsd:restriction>
      </xsd:simpleType>
    </xsd:element>
    <xsd:element name="GovXRegion" ma:index="25" nillable="true" ma:displayName="GovXRegion" ma:hidden="true" ma:internalName="GovXRegion" ma:readOnly="false">
      <xsd:simpleType>
        <xsd:restriction base="dms:Note"/>
      </xsd:simpleType>
    </xsd:element>
    <xsd:element name="GovXUnits" ma:index="26" nillable="true" ma:displayName="GovXUnits" ma:internalName="GovXUnits" ma:readOnly="false">
      <xsd:simpleType>
        <xsd:restriction base="dms:Note"/>
      </xsd:simpleType>
    </xsd:element>
    <xsd:element name="LiveEvent" ma:index="27" nillable="true" ma:displayName="LiveEvent" ma:hidden="true" ma:internalName="LiveEvent" ma:readOnly="false">
      <xsd:simpleType>
        <xsd:restriction base="dms:Note"/>
      </xsd:simpleType>
    </xsd:element>
    <xsd:element name="Rights" ma:index="28" nillable="true" ma:displayName="Rights" ma:hidden="true" ma:internalName="Rights" ma:readOnly="false">
      <xsd:simpleType>
        <xsd:restriction base="dms:Text">
          <xsd:maxLength value="255"/>
        </xsd:restriction>
      </xsd:simpleType>
    </xsd:element>
    <xsd:element name="Subjects" ma:index="29" nillable="true" ma:displayName="Subjects" ma:internalName="Subjects" ma:readOnly="false">
      <xsd:simpleType>
        <xsd:restriction base="dms:Note"/>
      </xsd:simpleType>
    </xsd:element>
    <xsd:element name="Types" ma:index="30" nillable="true" ma:displayName="Types" ma:hidden="true" ma:internalName="Types" ma:readOnly="false">
      <xsd:simpleType>
        <xsd:restriction base="dms:Note"/>
      </xsd:simpleType>
    </xsd:element>
    <xsd:element name="Function" ma:index="32" nillable="true" ma:displayName="Function" ma:hidden="true" ma:internalName="Function" ma:readOnly="false">
      <xsd:simpleType>
        <xsd:restriction base="dms:Text">
          <xsd:maxLength value="255"/>
        </xsd:restriction>
      </xsd:simpleType>
    </xsd:element>
    <xsd:element name="UnitsType" ma:index="33" nillable="true" ma:displayName="UnitsType" ma:hidden="true" ma:internalName="UnitsType" ma:readOnly="false">
      <xsd:simpleType>
        <xsd:restriction base="dms:Text">
          <xsd:maxLength value="255"/>
        </xsd:restriction>
      </xsd:simpleType>
    </xsd:element>
    <xsd:element name="GovXRobotsFollow" ma:index="34" nillable="true" ma:displayName="GovXRobotsFollow" ma:default="1" ma:hidden="true" ma:internalName="GovXRobotsFollow" ma:readOnly="false">
      <xsd:simpleType>
        <xsd:restriction base="dms:Boolean"/>
      </xsd:simpleType>
    </xsd:element>
    <xsd:element name="GovXRobotsIndex" ma:index="35" nillable="true" ma:displayName="GovXRobotsIndex" ma:default="1" ma:hidden="true" ma:internalName="GovXRobotsIndex" ma:readOnly="false">
      <xsd:simpleType>
        <xsd:restriction base="dms:Boolean"/>
      </xsd:simpleType>
    </xsd:element>
    <xsd:element name="GovxID" ma:index="36" nillable="true" ma:displayName="GovxID" ma:internalName="GovxID">
      <xsd:simpleType>
        <xsd:restriction base="dms:Unknown"/>
      </xsd:simpleType>
    </xsd:element>
    <xsd:element name="AddressType" ma:index="37" nillable="true" ma:displayName="AddressType" ma:hidden="true" ma:internalName="AddressType" ma:readOnly="false">
      <xsd:simpleType>
        <xsd:restriction base="dms:Text">
          <xsd:maxLength value="255"/>
        </xsd:restriction>
      </xsd:simpleType>
    </xsd:element>
    <xsd:element name="GovXMainTitle" ma:index="38" nillable="true" ma:displayName="כותרת ראשית" ma:internalName="GovXMainTitle">
      <xsd:simpleType>
        <xsd:restriction base="dms:Text">
          <xsd:maxLength value="255"/>
        </xsd:restriction>
      </xsd:simpleType>
    </xsd:element>
    <xsd:element name="GovXConsumerLocation" ma:index="39" nillable="true" ma:displayName="GovXConsumerLocation" ma:internalName="GovXConsumerLocation" ma:readOnly="false">
      <xsd:simpleType>
        <xsd:restriction base="dms:Note"/>
      </xsd:simpleType>
    </xsd:element>
    <xsd:element name="GovXJobDescription" ma:index="40" nillable="true" ma:displayName="GovXJobDescription" ma:hidden="true" ma:internalName="GovXJobDescription" ma:readOnly="false">
      <xsd:simpleType>
        <xsd:restriction base="dms:Text">
          <xsd:maxLength value="255"/>
        </xsd:restriction>
      </xsd:simpleType>
    </xsd:element>
    <xsd:element name="GovXStatus" ma:index="41" nillable="true" ma:displayName="GovXStatus" ma:hidden="true" ma:internalName="GovXStatus" ma:readOnly="false">
      <xsd:simpleType>
        <xsd:restriction base="dms:Text">
          <xsd:maxLength value="255"/>
        </xsd:restriction>
      </xsd:simpleType>
    </xsd:element>
    <xsd:element name="GovXDescription" ma:index="42" nillable="true" ma:displayName="GovXDescription" ma:hidden="true" ma:internalName="GovXDescription" ma:readOnly="false">
      <xsd:simpleType>
        <xsd:restriction base="dms:Note"/>
      </xsd:simpleType>
    </xsd:element>
    <xsd:element name="BranchType" ma:index="43" nillable="true" ma:displayName="BranchType" ma:internalName="BranchType">
      <xsd:simpleType>
        <xsd:restriction base="dms:Text">
          <xsd:maxLength value="255"/>
        </xsd:restriction>
      </xsd:simpleType>
    </xsd:element>
    <xsd:element name="ResponsibleUnit" ma:index="44" nillable="true" ma:displayName="ResponsibleUnit" ma:internalName="ResponsibleUnit">
      <xsd:simpleType>
        <xsd:restriction base="dms:Text">
          <xsd:maxLength value="255"/>
        </xsd:restriction>
      </xsd:simpleType>
    </xsd:element>
    <xsd:element name="GovXResponsibleOffice" ma:index="45" nillable="true" ma:displayName="GovXResponsibleOffice" ma:internalName="GovXResponsibleOffice">
      <xsd:simpleType>
        <xsd:restriction base="dms:Text">
          <xsd:maxLength value="255"/>
        </xsd:restriction>
      </xsd:simpleType>
    </xsd:element>
    <xsd:element name="MoinUnits" ma:index="46" nillable="true" ma:displayName="יחידה" ma:list="b870e985-98f7-4059-9145-bb8cec600071" ma:internalName="MoinUnits" ma:showField="Title" ma:web="fe384cf7-21cd-49eb-8bbb-71ed64f47de0">
      <xsd:simpleType>
        <xsd:restriction base="dms:Lookup"/>
      </xsd:simpleType>
    </xsd:element>
    <xsd:element name="Subject1" ma:index="47" nillable="true" ma:displayName="נושא" ma:list="a162fb0b-c98f-416d-8535-48fdcf9efcd3" ma:internalName="Subject1" ma:showField="Title" ma:web="fe384cf7-21cd-49eb-8bbb-71ed64f47de0">
      <xsd:simpleType>
        <xsd:restriction base="dms:Lookup"/>
      </xsd:simpleType>
    </xsd:element>
    <xsd:element name="isCommonForm" ma:index="50" nillable="true" ma:displayName="isCommonForm" ma:default="0" ma:internalName="isCommonForm0">
      <xsd:simpleType>
        <xsd:restriction base="dms:Boolean"/>
      </xsd:simpleType>
    </xsd:element>
  </xsd:schema>
  <xsd:schema xmlns:xsd="http://www.w3.org/2001/XMLSchema" xmlns:dms="http://schemas.microsoft.com/office/2006/documentManagement/types" targetNamespace="70b9ac25-80dc-4aae-bf2d-2f8f91365860" elementFormDefault="qualified">
    <xsd:import namespace="http://schemas.microsoft.com/office/2006/documentManagement/types"/>
    <xsd:element name="onLineLink" ma:index="48" nillable="true" ma:displayName="onLineLink" ma:format="Hyperlink" ma:internalName="onLine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explanationForService" ma:index="49" nillable="true" ma:displayName="explanationForService" ma:format="Hyperlink" ma:internalName="explanationForServic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 ma:readOnly="true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 ma:index="31" ma:displayName="מילות מפתח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ovxID xmlns="fe384cf7-21cd-49eb-8bbb-71ed64f47de0" xsi:nil="true"/>
    <GovXConsumerLocation xmlns="fe384cf7-21cd-49eb-8bbb-71ed64f47de0" xsi:nil="true"/>
    <GovXLanguage xmlns="fe384cf7-21cd-49eb-8bbb-71ed64f47de0">heIL</GovXLanguage>
    <GovXJobDescription xmlns="fe384cf7-21cd-49eb-8bbb-71ed64f47de0" xsi:nil="true"/>
    <GovXAudience xmlns="fe384cf7-21cd-49eb-8bbb-71ed64f47de0">גזברי רשויות בעלי מקצוע;חברי מועצת הרשות בעלי מקצוע;חשבים מלווים בעלי מקצוע;יועצים משפטיים ברשויות בעלי מקצוע;מבקרים פנימיים ברשויות בעלי מקצוע;ראשי רשויות מקומיות בעלי מקצוע;רואי חשבון שעושים ביקורת ברשויות בעלי מקצוע;</GovXAudience>
    <PublishingRollupImage xmlns="http://schemas.microsoft.com/sharepoint/v3" xsi:nil="true"/>
    <UnitsType xmlns="fe384cf7-21cd-49eb-8bbb-71ed64f47de0" xsi:nil="true"/>
    <GovXDescription xmlns="fe384cf7-21cd-49eb-8bbb-71ed64f47de0" xsi:nil="true"/>
    <isCommonForm xmlns="fe384cf7-21cd-49eb-8bbb-71ed64f47de0">false</isCommonForm>
    <PublishingContactEmail xmlns="http://schemas.microsoft.com/sharepoint/v3" xsi:nil="true"/>
    <PublishingVariationRelationshipLinkFieldID xmlns="http://schemas.microsoft.com/sharepoint/v3">
      <Url xsi:nil="true"/>
      <Description xsi:nil="true"/>
    </PublishingVariationRelationshipLinkFieldID>
    <GovXUnits xmlns="fe384cf7-21cd-49eb-8bbb-71ed64f47de0" xsi:nil="true"/>
    <GovXStatus xmlns="fe384cf7-21cd-49eb-8bbb-71ed64f47de0" xsi:nil="true"/>
    <Types xmlns="fe384cf7-21cd-49eb-8bbb-71ed64f47de0" xsi:nil="true"/>
    <Function xmlns="fe384cf7-21cd-49eb-8bbb-71ed64f47de0" xsi:nil="true"/>
    <Branch xmlns="fe384cf7-21cd-49eb-8bbb-71ed64f47de0" xsi:nil="true"/>
    <GovXRobotsFollow xmlns="fe384cf7-21cd-49eb-8bbb-71ed64f47de0">true</GovXRobotsFollow>
    <GovXRobotsIndex xmlns="fe384cf7-21cd-49eb-8bbb-71ed64f47de0">true</GovXRobotsIndex>
    <ResponsibleUnit xmlns="fe384cf7-21cd-49eb-8bbb-71ed64f47de0">מינהל לשלטון מקומי</ResponsibleUnit>
    <explanationForService xmlns="70b9ac25-80dc-4aae-bf2d-2f8f91365860">
      <Url xsi:nil="true"/>
      <Description xsi:nil="true"/>
    </explanationForService>
    <PublishingVariationGroupID xmlns="http://schemas.microsoft.com/sharepoint/v3" xsi:nil="true"/>
    <Availability xmlns="fe384cf7-21cd-49eb-8bbb-71ed64f47de0" xsi:nil="true"/>
    <Audience xmlns="http://schemas.microsoft.com/sharepoint/v3" xsi:nil="true"/>
    <GovXRegion xmlns="fe384cf7-21cd-49eb-8bbb-71ed64f47de0" xsi:nil="true"/>
    <onLineLink xmlns="70b9ac25-80dc-4aae-bf2d-2f8f91365860">
      <Url xsi:nil="true"/>
      <Description xsi:nil="true"/>
    </onLineLink>
    <Subjects xmlns="fe384cf7-21cd-49eb-8bbb-71ed64f47de0">תוכנית הבראה לרשויות המקומיות;</Subjects>
    <GovXMainTitle xmlns="fe384cf7-21cd-49eb-8bbb-71ed64f47de0" xsi:nil="true"/>
    <PublishingExpirationDate xmlns="http://schemas.microsoft.com/sharepoint/v3" xsi:nil="true"/>
    <GovXResponsibleOffice xmlns="fe384cf7-21cd-49eb-8bbb-71ed64f47de0" xsi:nil="true"/>
    <PublishingContactPicture xmlns="http://schemas.microsoft.com/sharepoint/v3">
      <Url xsi:nil="true"/>
      <Description xsi:nil="true"/>
    </PublishingContactPicture>
    <LiveEvent xmlns="fe384cf7-21cd-49eb-8bbb-71ed64f47de0" xsi:nil="true"/>
    <PublishingStartDate xmlns="http://schemas.microsoft.com/sharepoint/v3" xsi:nil="true"/>
    <MoinUnits xmlns="fe384cf7-21cd-49eb-8bbb-71ed64f47de0">47</MoinUnits>
    <GovXPublisher xmlns="fe384cf7-21cd-49eb-8bbb-71ed64f47de0" xsi:nil="true"/>
    <BranchType xmlns="fe384cf7-21cd-49eb-8bbb-71ed64f47de0" xsi:nil="true"/>
    <Subject1 xmlns="fe384cf7-21cd-49eb-8bbb-71ed64f47de0">46</Subject1>
    <PublishingContact xmlns="http://schemas.microsoft.com/sharepoint/v3">
      <UserInfo>
        <DisplayName/>
        <AccountId xsi:nil="true"/>
        <AccountType/>
      </UserInfo>
    </PublishingContact>
    <PublishingContactName xmlns="http://schemas.microsoft.com/sharepoint/v3" xsi:nil="true"/>
    <Rights xmlns="fe384cf7-21cd-49eb-8bbb-71ed64f47de0" xsi:nil="true"/>
    <Comments xmlns="http://schemas.microsoft.com/sharepoint/v3" xsi:nil="true"/>
    <AddressType xmlns="fe384cf7-21cd-49eb-8bbb-71ed64f47de0" xsi:nil="true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B1EB69-E514-4D4E-82FD-4E82061B7A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e384cf7-21cd-49eb-8bbb-71ed64f47de0"/>
    <ds:schemaRef ds:uri="70b9ac25-80dc-4aae-bf2d-2f8f9136586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9BF7005A-13A7-4FC9-839C-AA8606CDFE2A}">
  <ds:schemaRefs>
    <ds:schemaRef ds:uri="http://purl.org/dc/dcmitype/"/>
    <ds:schemaRef ds:uri="http://purl.org/dc/terms/"/>
    <ds:schemaRef ds:uri="http://schemas.microsoft.com/office/2006/documentManagement/types"/>
    <ds:schemaRef ds:uri="http://schemas.microsoft.com/sharepoint/v3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70b9ac25-80dc-4aae-bf2d-2f8f91365860"/>
    <ds:schemaRef ds:uri="fe384cf7-21cd-49eb-8bbb-71ed64f47de0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6B5386BD-383A-4E52-A4D5-0C4AA5BBC26E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5C49A59E-B0FE-49A4-932C-A7FD7BABE7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18</vt:i4>
      </vt:variant>
      <vt:variant>
        <vt:lpstr>טווחים בעלי שם</vt:lpstr>
      </vt:variant>
      <vt:variant>
        <vt:i4>1</vt:i4>
      </vt:variant>
    </vt:vector>
  </HeadingPairs>
  <TitlesOfParts>
    <vt:vector size="19" baseType="lpstr">
      <vt:lpstr>פתיח</vt:lpstr>
      <vt:lpstr>טבלה 1 - התקציב הרגיל</vt:lpstr>
      <vt:lpstr>נספח 1 - גרעון מצטבר</vt:lpstr>
      <vt:lpstr>נספח 2 - הרכב הכנסות עצמיות</vt:lpstr>
      <vt:lpstr>נספח 3 - ריכוז תשלומים ותקבולים</vt:lpstr>
      <vt:lpstr>נספח 4- חסכון בשכר</vt:lpstr>
      <vt:lpstr>נספח 4 א' - פיטורים</vt:lpstr>
      <vt:lpstr>נספח 4 ב' - פרישה</vt:lpstr>
      <vt:lpstr>נספח 5-פעולות</vt:lpstr>
      <vt:lpstr>נספח 6 - פרעמ</vt:lpstr>
      <vt:lpstr>נספח 7 - תמיכות</vt:lpstr>
      <vt:lpstr>נספח 8-הכנסות</vt:lpstr>
      <vt:lpstr>נספח 9 - ביוב</vt:lpstr>
      <vt:lpstr>נספח 10 - גופי סמך</vt:lpstr>
      <vt:lpstr>גיליון1</vt:lpstr>
      <vt:lpstr>מוניצ</vt:lpstr>
      <vt:lpstr>חינוך</vt:lpstr>
      <vt:lpstr>רווחה</vt:lpstr>
      <vt:lpstr>'נספח 4 ב'' - פרישה'!WPrint_TitlesW</vt:lpstr>
    </vt:vector>
  </TitlesOfParts>
  <Company>iccjer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טפסים להגשת תכנית הבראה</dc:title>
  <dc:subject>46</dc:subject>
  <dc:creator>alexa</dc:creator>
  <cp:lastModifiedBy>Windows User</cp:lastModifiedBy>
  <cp:revision/>
  <cp:lastPrinted>2018-05-07T07:54:50Z</cp:lastPrinted>
  <dcterms:created xsi:type="dcterms:W3CDTF">2003-10-21T14:35:52Z</dcterms:created>
  <dcterms:modified xsi:type="dcterms:W3CDTF">2018-05-15T03:45:55Z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eyWords">
    <vt:lpwstr/>
  </property>
  <property fmtid="{D5CDD505-2E9C-101B-9397-08002B2CF9AE}" pid="3" name="MoinDocType0">
    <vt:lpwstr>6</vt:lpwstr>
  </property>
  <property fmtid="{D5CDD505-2E9C-101B-9397-08002B2CF9AE}" pid="4" name="ContentType">
    <vt:lpwstr>GovXBasePageCT</vt:lpwstr>
  </property>
  <property fmtid="{D5CDD505-2E9C-101B-9397-08002B2CF9AE}" pid="5" name="MoinPublishDate">
    <vt:lpwstr>2010-06-29T00:00:00Z</vt:lpwstr>
  </property>
  <property fmtid="{D5CDD505-2E9C-101B-9397-08002B2CF9AE}" pid="6" name="Order">
    <vt:lpwstr>1300.00000000000</vt:lpwstr>
  </property>
  <property fmtid="{D5CDD505-2E9C-101B-9397-08002B2CF9AE}" pid="7" name="Keywords0">
    <vt:lpwstr/>
  </property>
</Properties>
</file>