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van\Documents\"/>
    </mc:Choice>
  </mc:AlternateContent>
  <bookViews>
    <workbookView xWindow="0" yWindow="0" windowWidth="14370" windowHeight="4665" activeTab="5"/>
  </bookViews>
  <sheets>
    <sheet name="2018+2017" sheetId="1" r:id="rId1"/>
    <sheet name="הכנסות 18+17" sheetId="2" r:id="rId2"/>
    <sheet name="הוצאות 18+17" sheetId="4" r:id="rId3"/>
    <sheet name="2017" sheetId="5" r:id="rId4"/>
    <sheet name="הכנסות 16" sheetId="6" r:id="rId5"/>
    <sheet name="הוצאות 16" sheetId="7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7" l="1"/>
  <c r="F13" i="7"/>
  <c r="F14" i="7"/>
  <c r="F16" i="7"/>
  <c r="F18" i="7"/>
  <c r="F19" i="7"/>
  <c r="F20" i="7"/>
  <c r="F21" i="7"/>
  <c r="F22" i="7"/>
  <c r="F23" i="7"/>
  <c r="F24" i="7"/>
  <c r="F25" i="7" s="1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4" i="7" s="1"/>
  <c r="F42" i="7"/>
  <c r="F43" i="7"/>
  <c r="F48" i="7"/>
  <c r="F50" i="7"/>
  <c r="F51" i="7"/>
  <c r="F52" i="7"/>
  <c r="F53" i="7"/>
  <c r="F54" i="7"/>
  <c r="F55" i="7"/>
  <c r="F56" i="7"/>
  <c r="F57" i="7"/>
  <c r="F58" i="7"/>
  <c r="F59" i="7"/>
  <c r="F61" i="7"/>
  <c r="F62" i="7"/>
  <c r="F63" i="7"/>
  <c r="F64" i="7"/>
  <c r="F65" i="7"/>
  <c r="F66" i="7"/>
  <c r="F67" i="7"/>
  <c r="F68" i="7"/>
  <c r="F69" i="7"/>
  <c r="F70" i="7"/>
  <c r="F72" i="7"/>
  <c r="F74" i="7"/>
  <c r="F76" i="7"/>
  <c r="F77" i="7"/>
  <c r="F80" i="7" s="1"/>
  <c r="F78" i="7"/>
  <c r="F79" i="7"/>
  <c r="H14" i="7"/>
  <c r="K79" i="7"/>
  <c r="J79" i="7"/>
  <c r="I79" i="7"/>
  <c r="E79" i="7"/>
  <c r="G79" i="7" s="1"/>
  <c r="D79" i="7"/>
  <c r="K78" i="7"/>
  <c r="J78" i="7"/>
  <c r="I78" i="7"/>
  <c r="E78" i="7"/>
  <c r="G78" i="7" s="1"/>
  <c r="D78" i="7"/>
  <c r="K77" i="7"/>
  <c r="J77" i="7"/>
  <c r="I77" i="7"/>
  <c r="E77" i="7"/>
  <c r="G77" i="7" s="1"/>
  <c r="D77" i="7"/>
  <c r="K76" i="7"/>
  <c r="J76" i="7"/>
  <c r="E76" i="7"/>
  <c r="G76" i="7" s="1"/>
  <c r="G80" i="7" s="1"/>
  <c r="D76" i="7"/>
  <c r="K74" i="7"/>
  <c r="J74" i="7"/>
  <c r="I74" i="7"/>
  <c r="E74" i="7"/>
  <c r="G74" i="7" s="1"/>
  <c r="D74" i="7"/>
  <c r="K72" i="7"/>
  <c r="J72" i="7"/>
  <c r="I72" i="7"/>
  <c r="E72" i="7"/>
  <c r="G72" i="7" s="1"/>
  <c r="D72" i="7"/>
  <c r="K69" i="7"/>
  <c r="J69" i="7"/>
  <c r="I69" i="7"/>
  <c r="E69" i="7"/>
  <c r="G69" i="7" s="1"/>
  <c r="D69" i="7"/>
  <c r="K68" i="7"/>
  <c r="J68" i="7"/>
  <c r="I68" i="7"/>
  <c r="E68" i="7"/>
  <c r="G68" i="7" s="1"/>
  <c r="D68" i="7"/>
  <c r="K67" i="7"/>
  <c r="I67" i="7"/>
  <c r="E67" i="7"/>
  <c r="G67" i="7" s="1"/>
  <c r="D67" i="7"/>
  <c r="K66" i="7"/>
  <c r="J66" i="7"/>
  <c r="I66" i="7"/>
  <c r="E66" i="7"/>
  <c r="G66" i="7" s="1"/>
  <c r="D66" i="7"/>
  <c r="K65" i="7"/>
  <c r="J65" i="7"/>
  <c r="I65" i="7"/>
  <c r="E65" i="7"/>
  <c r="G65" i="7" s="1"/>
  <c r="D65" i="7"/>
  <c r="K64" i="7"/>
  <c r="J64" i="7"/>
  <c r="I64" i="7"/>
  <c r="E64" i="7"/>
  <c r="G64" i="7" s="1"/>
  <c r="D64" i="7"/>
  <c r="K63" i="7"/>
  <c r="J63" i="7"/>
  <c r="I63" i="7"/>
  <c r="E63" i="7"/>
  <c r="G63" i="7" s="1"/>
  <c r="D63" i="7"/>
  <c r="K62" i="7"/>
  <c r="J62" i="7"/>
  <c r="I62" i="7"/>
  <c r="E62" i="7"/>
  <c r="G62" i="7" s="1"/>
  <c r="D62" i="7"/>
  <c r="K61" i="7"/>
  <c r="J61" i="7"/>
  <c r="I61" i="7"/>
  <c r="E61" i="7"/>
  <c r="G61" i="7" s="1"/>
  <c r="D61" i="7"/>
  <c r="K58" i="7"/>
  <c r="J58" i="7"/>
  <c r="I58" i="7"/>
  <c r="E58" i="7"/>
  <c r="D58" i="7"/>
  <c r="K57" i="7"/>
  <c r="J57" i="7"/>
  <c r="I57" i="7"/>
  <c r="E57" i="7"/>
  <c r="G57" i="7" s="1"/>
  <c r="D57" i="7"/>
  <c r="K56" i="7"/>
  <c r="J56" i="7"/>
  <c r="I56" i="7"/>
  <c r="E56" i="7"/>
  <c r="G56" i="7" s="1"/>
  <c r="D56" i="7"/>
  <c r="K55" i="7"/>
  <c r="J55" i="7"/>
  <c r="I55" i="7"/>
  <c r="E55" i="7"/>
  <c r="G55" i="7" s="1"/>
  <c r="D55" i="7"/>
  <c r="K54" i="7"/>
  <c r="J54" i="7"/>
  <c r="I54" i="7"/>
  <c r="E54" i="7"/>
  <c r="G54" i="7" s="1"/>
  <c r="D54" i="7"/>
  <c r="K53" i="7"/>
  <c r="J53" i="7"/>
  <c r="I53" i="7"/>
  <c r="E53" i="7"/>
  <c r="G53" i="7" s="1"/>
  <c r="D53" i="7"/>
  <c r="K52" i="7"/>
  <c r="J52" i="7"/>
  <c r="I52" i="7"/>
  <c r="E52" i="7"/>
  <c r="G52" i="7" s="1"/>
  <c r="D52" i="7"/>
  <c r="K51" i="7"/>
  <c r="J51" i="7"/>
  <c r="I51" i="7"/>
  <c r="E51" i="7"/>
  <c r="G51" i="7" s="1"/>
  <c r="D51" i="7"/>
  <c r="K50" i="7"/>
  <c r="J50" i="7"/>
  <c r="I50" i="7"/>
  <c r="E50" i="7"/>
  <c r="G50" i="7" s="1"/>
  <c r="D50" i="7"/>
  <c r="J48" i="7"/>
  <c r="D48" i="7"/>
  <c r="K43" i="7"/>
  <c r="J43" i="7"/>
  <c r="I43" i="7"/>
  <c r="E43" i="7"/>
  <c r="G43" i="7" s="1"/>
  <c r="D43" i="7"/>
  <c r="K42" i="7"/>
  <c r="J42" i="7"/>
  <c r="I42" i="7"/>
  <c r="E42" i="7"/>
  <c r="G42" i="7" s="1"/>
  <c r="D42" i="7"/>
  <c r="K41" i="7"/>
  <c r="J41" i="7"/>
  <c r="I41" i="7"/>
  <c r="E41" i="7"/>
  <c r="G41" i="7" s="1"/>
  <c r="D41" i="7"/>
  <c r="K40" i="7"/>
  <c r="J40" i="7"/>
  <c r="I40" i="7"/>
  <c r="E40" i="7"/>
  <c r="G40" i="7" s="1"/>
  <c r="D40" i="7"/>
  <c r="K39" i="7"/>
  <c r="J39" i="7"/>
  <c r="I39" i="7"/>
  <c r="E39" i="7"/>
  <c r="G39" i="7" s="1"/>
  <c r="D39" i="7"/>
  <c r="K38" i="7"/>
  <c r="J38" i="7"/>
  <c r="I38" i="7"/>
  <c r="E38" i="7"/>
  <c r="G38" i="7" s="1"/>
  <c r="D38" i="7"/>
  <c r="K37" i="7"/>
  <c r="J37" i="7"/>
  <c r="I37" i="7"/>
  <c r="E37" i="7"/>
  <c r="G37" i="7" s="1"/>
  <c r="D37" i="7"/>
  <c r="K36" i="7"/>
  <c r="J36" i="7"/>
  <c r="I36" i="7"/>
  <c r="E36" i="7"/>
  <c r="G36" i="7" s="1"/>
  <c r="D36" i="7"/>
  <c r="K35" i="7"/>
  <c r="J35" i="7"/>
  <c r="I35" i="7"/>
  <c r="E35" i="7"/>
  <c r="G35" i="7" s="1"/>
  <c r="D35" i="7"/>
  <c r="K34" i="7"/>
  <c r="J34" i="7"/>
  <c r="I34" i="7"/>
  <c r="E34" i="7"/>
  <c r="G34" i="7" s="1"/>
  <c r="D34" i="7"/>
  <c r="K33" i="7"/>
  <c r="J33" i="7"/>
  <c r="I33" i="7"/>
  <c r="E33" i="7"/>
  <c r="G33" i="7" s="1"/>
  <c r="D33" i="7"/>
  <c r="K32" i="7"/>
  <c r="J32" i="7"/>
  <c r="I32" i="7"/>
  <c r="E32" i="7"/>
  <c r="G32" i="7" s="1"/>
  <c r="D32" i="7"/>
  <c r="K31" i="7"/>
  <c r="J31" i="7"/>
  <c r="I31" i="7"/>
  <c r="E31" i="7"/>
  <c r="G31" i="7" s="1"/>
  <c r="D31" i="7"/>
  <c r="K30" i="7"/>
  <c r="J30" i="7"/>
  <c r="I30" i="7"/>
  <c r="E30" i="7"/>
  <c r="G30" i="7" s="1"/>
  <c r="D30" i="7"/>
  <c r="J29" i="7"/>
  <c r="I29" i="7"/>
  <c r="E29" i="7"/>
  <c r="G29" i="7" s="1"/>
  <c r="D29" i="7"/>
  <c r="K28" i="7"/>
  <c r="J28" i="7"/>
  <c r="I28" i="7"/>
  <c r="E28" i="7"/>
  <c r="G28" i="7" s="1"/>
  <c r="D28" i="7"/>
  <c r="K27" i="7"/>
  <c r="J27" i="7"/>
  <c r="I27" i="7"/>
  <c r="E27" i="7"/>
  <c r="G27" i="7" s="1"/>
  <c r="G44" i="7" s="1"/>
  <c r="D27" i="7"/>
  <c r="K24" i="7"/>
  <c r="J24" i="7"/>
  <c r="I24" i="7"/>
  <c r="E24" i="7"/>
  <c r="G24" i="7" s="1"/>
  <c r="D24" i="7"/>
  <c r="K23" i="7"/>
  <c r="J23" i="7"/>
  <c r="I23" i="7"/>
  <c r="E23" i="7"/>
  <c r="G23" i="7" s="1"/>
  <c r="D23" i="7"/>
  <c r="K22" i="7"/>
  <c r="J22" i="7"/>
  <c r="I22" i="7"/>
  <c r="E22" i="7"/>
  <c r="G22" i="7" s="1"/>
  <c r="D22" i="7"/>
  <c r="K21" i="7"/>
  <c r="J21" i="7"/>
  <c r="I21" i="7"/>
  <c r="E21" i="7"/>
  <c r="G21" i="7" s="1"/>
  <c r="D21" i="7"/>
  <c r="K20" i="7"/>
  <c r="J20" i="7"/>
  <c r="I20" i="7"/>
  <c r="E20" i="7"/>
  <c r="G20" i="7" s="1"/>
  <c r="D20" i="7"/>
  <c r="K19" i="7"/>
  <c r="J19" i="7"/>
  <c r="I19" i="7"/>
  <c r="E19" i="7"/>
  <c r="D19" i="7"/>
  <c r="K18" i="7"/>
  <c r="J18" i="7"/>
  <c r="I18" i="7"/>
  <c r="E18" i="7"/>
  <c r="G18" i="7" s="1"/>
  <c r="D18" i="7"/>
  <c r="K15" i="7"/>
  <c r="I15" i="7"/>
  <c r="H15" i="7"/>
  <c r="E15" i="7"/>
  <c r="K14" i="7"/>
  <c r="J14" i="7"/>
  <c r="I14" i="7"/>
  <c r="E14" i="7"/>
  <c r="D14" i="7"/>
  <c r="K13" i="7"/>
  <c r="J13" i="7"/>
  <c r="I13" i="7"/>
  <c r="H13" i="7"/>
  <c r="E13" i="7"/>
  <c r="D13" i="7"/>
  <c r="K12" i="7"/>
  <c r="J12" i="7"/>
  <c r="I12" i="7"/>
  <c r="E12" i="7"/>
  <c r="G12" i="7" s="1"/>
  <c r="G16" i="7" s="1"/>
  <c r="D12" i="7"/>
  <c r="G67" i="6"/>
  <c r="F67" i="6"/>
  <c r="D67" i="6"/>
  <c r="E67" i="6" s="1"/>
  <c r="G66" i="6"/>
  <c r="F66" i="6"/>
  <c r="D66" i="6"/>
  <c r="E66" i="6" s="1"/>
  <c r="G65" i="6"/>
  <c r="F65" i="6"/>
  <c r="D65" i="6"/>
  <c r="E65" i="6" s="1"/>
  <c r="G64" i="6"/>
  <c r="G68" i="6" s="1"/>
  <c r="F64" i="6"/>
  <c r="F68" i="6" s="1"/>
  <c r="D64" i="6"/>
  <c r="E64" i="6" s="1"/>
  <c r="E68" i="6" s="1"/>
  <c r="G62" i="6"/>
  <c r="F62" i="6"/>
  <c r="D62" i="6"/>
  <c r="E62" i="6" s="1"/>
  <c r="G59" i="6"/>
  <c r="F59" i="6"/>
  <c r="D59" i="6"/>
  <c r="E59" i="6" s="1"/>
  <c r="G58" i="6"/>
  <c r="F58" i="6"/>
  <c r="D58" i="6"/>
  <c r="E58" i="6" s="1"/>
  <c r="G57" i="6"/>
  <c r="F57" i="6"/>
  <c r="D57" i="6"/>
  <c r="E57" i="6" s="1"/>
  <c r="G56" i="6"/>
  <c r="F56" i="6"/>
  <c r="D56" i="6"/>
  <c r="E56" i="6" s="1"/>
  <c r="G55" i="6"/>
  <c r="F55" i="6"/>
  <c r="D55" i="6"/>
  <c r="E55" i="6" s="1"/>
  <c r="G54" i="6"/>
  <c r="F54" i="6"/>
  <c r="D54" i="6"/>
  <c r="E54" i="6" s="1"/>
  <c r="G53" i="6"/>
  <c r="F53" i="6"/>
  <c r="D53" i="6"/>
  <c r="E53" i="6" s="1"/>
  <c r="G52" i="6"/>
  <c r="F52" i="6"/>
  <c r="D52" i="6"/>
  <c r="E52" i="6" s="1"/>
  <c r="G51" i="6"/>
  <c r="G60" i="6" s="1"/>
  <c r="F51" i="6"/>
  <c r="F60" i="6" s="1"/>
  <c r="D51" i="6"/>
  <c r="E51" i="6" s="1"/>
  <c r="G48" i="6"/>
  <c r="F48" i="6"/>
  <c r="D48" i="6"/>
  <c r="E48" i="6" s="1"/>
  <c r="G47" i="6"/>
  <c r="G49" i="6" s="1"/>
  <c r="F47" i="6"/>
  <c r="F49" i="6" s="1"/>
  <c r="D47" i="6"/>
  <c r="E47" i="6" s="1"/>
  <c r="E49" i="6" s="1"/>
  <c r="G45" i="6"/>
  <c r="D45" i="6"/>
  <c r="G40" i="6"/>
  <c r="F40" i="6"/>
  <c r="D40" i="6"/>
  <c r="E40" i="6" s="1"/>
  <c r="G39" i="6"/>
  <c r="F39" i="6"/>
  <c r="D39" i="6"/>
  <c r="E39" i="6" s="1"/>
  <c r="G38" i="6"/>
  <c r="F38" i="6"/>
  <c r="D38" i="6"/>
  <c r="E38" i="6" s="1"/>
  <c r="G37" i="6"/>
  <c r="F37" i="6"/>
  <c r="D37" i="6"/>
  <c r="E37" i="6" s="1"/>
  <c r="G36" i="6"/>
  <c r="F36" i="6"/>
  <c r="D36" i="6"/>
  <c r="E36" i="6" s="1"/>
  <c r="G35" i="6"/>
  <c r="F35" i="6"/>
  <c r="D35" i="6"/>
  <c r="E35" i="6" s="1"/>
  <c r="G34" i="6"/>
  <c r="F34" i="6"/>
  <c r="D34" i="6"/>
  <c r="E34" i="6" s="1"/>
  <c r="G33" i="6"/>
  <c r="F33" i="6"/>
  <c r="D33" i="6"/>
  <c r="E33" i="6" s="1"/>
  <c r="G32" i="6"/>
  <c r="F32" i="6"/>
  <c r="D32" i="6"/>
  <c r="E32" i="6" s="1"/>
  <c r="G31" i="6"/>
  <c r="F31" i="6"/>
  <c r="D31" i="6"/>
  <c r="E31" i="6" s="1"/>
  <c r="G30" i="6"/>
  <c r="F30" i="6"/>
  <c r="D30" i="6"/>
  <c r="E30" i="6" s="1"/>
  <c r="G29" i="6"/>
  <c r="F29" i="6"/>
  <c r="D29" i="6"/>
  <c r="E29" i="6" s="1"/>
  <c r="G28" i="6"/>
  <c r="F28" i="6"/>
  <c r="D28" i="6"/>
  <c r="E28" i="6" s="1"/>
  <c r="G27" i="6"/>
  <c r="F27" i="6"/>
  <c r="D27" i="6"/>
  <c r="E27" i="6" s="1"/>
  <c r="G26" i="6"/>
  <c r="G41" i="6" s="1"/>
  <c r="F26" i="6"/>
  <c r="F41" i="6" s="1"/>
  <c r="D26" i="6"/>
  <c r="E26" i="6" s="1"/>
  <c r="G23" i="6"/>
  <c r="F23" i="6"/>
  <c r="D23" i="6"/>
  <c r="E23" i="6" s="1"/>
  <c r="G22" i="6"/>
  <c r="F22" i="6"/>
  <c r="D22" i="6"/>
  <c r="E22" i="6" s="1"/>
  <c r="G21" i="6"/>
  <c r="F21" i="6"/>
  <c r="D21" i="6"/>
  <c r="E21" i="6" s="1"/>
  <c r="G20" i="6"/>
  <c r="F20" i="6"/>
  <c r="D20" i="6"/>
  <c r="E20" i="6" s="1"/>
  <c r="G19" i="6"/>
  <c r="F19" i="6"/>
  <c r="D19" i="6"/>
  <c r="E19" i="6" s="1"/>
  <c r="G18" i="6"/>
  <c r="F18" i="6"/>
  <c r="D18" i="6"/>
  <c r="E18" i="6" s="1"/>
  <c r="G17" i="6"/>
  <c r="G24" i="6" s="1"/>
  <c r="F17" i="6"/>
  <c r="F24" i="6" s="1"/>
  <c r="D17" i="6"/>
  <c r="E17" i="6" s="1"/>
  <c r="G14" i="6"/>
  <c r="F14" i="6"/>
  <c r="D14" i="6"/>
  <c r="E14" i="6" s="1"/>
  <c r="G13" i="6"/>
  <c r="F13" i="6"/>
  <c r="D13" i="6"/>
  <c r="E13" i="6" s="1"/>
  <c r="G12" i="6"/>
  <c r="G15" i="6" s="1"/>
  <c r="F12" i="6"/>
  <c r="F15" i="6" s="1"/>
  <c r="D12" i="6"/>
  <c r="E12" i="6" s="1"/>
  <c r="G9" i="6"/>
  <c r="F9" i="6"/>
  <c r="D9" i="6"/>
  <c r="E9" i="6" s="1"/>
  <c r="G8" i="6"/>
  <c r="G10" i="6" s="1"/>
  <c r="F8" i="6"/>
  <c r="F10" i="6" s="1"/>
  <c r="D8" i="6"/>
  <c r="E8" i="6" s="1"/>
  <c r="G34" i="5"/>
  <c r="E34" i="5"/>
  <c r="C34" i="5"/>
  <c r="G33" i="5"/>
  <c r="E33" i="5"/>
  <c r="D33" i="5"/>
  <c r="C33" i="5"/>
  <c r="G32" i="5"/>
  <c r="E32" i="5"/>
  <c r="D32" i="5"/>
  <c r="C32" i="5"/>
  <c r="G31" i="5"/>
  <c r="E31" i="5"/>
  <c r="D31" i="5"/>
  <c r="C31" i="5"/>
  <c r="G30" i="5"/>
  <c r="E30" i="5"/>
  <c r="D30" i="5"/>
  <c r="C30" i="5"/>
  <c r="G29" i="5"/>
  <c r="E29" i="5"/>
  <c r="D29" i="5"/>
  <c r="C29" i="5"/>
  <c r="G28" i="5"/>
  <c r="E28" i="5"/>
  <c r="D28" i="5"/>
  <c r="C28" i="5"/>
  <c r="G27" i="5"/>
  <c r="E27" i="5"/>
  <c r="D27" i="5"/>
  <c r="C27" i="5"/>
  <c r="G26" i="5"/>
  <c r="E26" i="5"/>
  <c r="D26" i="5"/>
  <c r="C26" i="5"/>
  <c r="G25" i="5"/>
  <c r="G40" i="5" s="1"/>
  <c r="E25" i="5"/>
  <c r="E40" i="5" s="1"/>
  <c r="D25" i="5"/>
  <c r="D35" i="5" s="1"/>
  <c r="D42" i="5" s="1"/>
  <c r="C25" i="5"/>
  <c r="C40" i="5" s="1"/>
  <c r="G19" i="5"/>
  <c r="E19" i="5"/>
  <c r="D19" i="5"/>
  <c r="C19" i="5"/>
  <c r="G18" i="5"/>
  <c r="E18" i="5"/>
  <c r="D18" i="5"/>
  <c r="C18" i="5"/>
  <c r="G17" i="5"/>
  <c r="E17" i="5"/>
  <c r="D17" i="5"/>
  <c r="C17" i="5"/>
  <c r="G16" i="5"/>
  <c r="E16" i="5"/>
  <c r="D16" i="5"/>
  <c r="C16" i="5"/>
  <c r="G15" i="5"/>
  <c r="E15" i="5"/>
  <c r="D15" i="5"/>
  <c r="C15" i="5"/>
  <c r="G14" i="5"/>
  <c r="E14" i="5"/>
  <c r="D14" i="5"/>
  <c r="C14" i="5"/>
  <c r="G13" i="5"/>
  <c r="E13" i="5"/>
  <c r="D13" i="5"/>
  <c r="C13" i="5"/>
  <c r="G12" i="5"/>
  <c r="E12" i="5"/>
  <c r="D12" i="5"/>
  <c r="C12" i="5"/>
  <c r="G11" i="5"/>
  <c r="E11" i="5"/>
  <c r="D11" i="5"/>
  <c r="C11" i="5"/>
  <c r="G10" i="5"/>
  <c r="E10" i="5"/>
  <c r="E20" i="5" s="1"/>
  <c r="D10" i="5"/>
  <c r="D20" i="5" s="1"/>
  <c r="D37" i="5" s="1"/>
  <c r="C10" i="5"/>
  <c r="K29" i="7"/>
  <c r="G70" i="7" l="1"/>
  <c r="F82" i="7"/>
  <c r="H20" i="7"/>
  <c r="H24" i="7"/>
  <c r="H62" i="7"/>
  <c r="G19" i="7"/>
  <c r="H19" i="7" s="1"/>
  <c r="H37" i="7"/>
  <c r="G58" i="7"/>
  <c r="G59" i="7" s="1"/>
  <c r="H52" i="7"/>
  <c r="K16" i="7"/>
  <c r="D80" i="7"/>
  <c r="H27" i="7"/>
  <c r="H76" i="7"/>
  <c r="H29" i="7"/>
  <c r="H55" i="7"/>
  <c r="E16" i="7"/>
  <c r="H40" i="7"/>
  <c r="H36" i="7"/>
  <c r="H78" i="7"/>
  <c r="H69" i="7"/>
  <c r="H54" i="7"/>
  <c r="D44" i="7"/>
  <c r="I80" i="7"/>
  <c r="J16" i="7"/>
  <c r="D25" i="7"/>
  <c r="E80" i="7"/>
  <c r="D16" i="7"/>
  <c r="H66" i="7"/>
  <c r="H35" i="7"/>
  <c r="I25" i="7"/>
  <c r="H21" i="7"/>
  <c r="H31" i="7"/>
  <c r="H39" i="7"/>
  <c r="H43" i="7"/>
  <c r="J59" i="7"/>
  <c r="H65" i="7"/>
  <c r="J25" i="7"/>
  <c r="H23" i="7"/>
  <c r="E44" i="7"/>
  <c r="H33" i="7"/>
  <c r="H53" i="7"/>
  <c r="D70" i="7"/>
  <c r="H64" i="7"/>
  <c r="H68" i="7"/>
  <c r="J80" i="7"/>
  <c r="E25" i="7"/>
  <c r="J44" i="7"/>
  <c r="H41" i="7"/>
  <c r="D59" i="7"/>
  <c r="H57" i="7"/>
  <c r="E70" i="7"/>
  <c r="J70" i="7"/>
  <c r="H63" i="7"/>
  <c r="H72" i="7"/>
  <c r="H74" i="7"/>
  <c r="H79" i="7"/>
  <c r="K25" i="7"/>
  <c r="H28" i="7"/>
  <c r="H30" i="7"/>
  <c r="I44" i="7"/>
  <c r="H42" i="7"/>
  <c r="H51" i="7"/>
  <c r="I16" i="7"/>
  <c r="H22" i="7"/>
  <c r="K44" i="7"/>
  <c r="H34" i="7"/>
  <c r="H38" i="7"/>
  <c r="H56" i="7"/>
  <c r="H77" i="7"/>
  <c r="H50" i="7"/>
  <c r="E59" i="7"/>
  <c r="I59" i="7"/>
  <c r="K59" i="7"/>
  <c r="I70" i="7"/>
  <c r="K70" i="7"/>
  <c r="K80" i="7"/>
  <c r="H61" i="7"/>
  <c r="E10" i="6"/>
  <c r="F70" i="6"/>
  <c r="E60" i="6"/>
  <c r="E24" i="6"/>
  <c r="E41" i="6"/>
  <c r="G70" i="6"/>
  <c r="E15" i="6"/>
  <c r="D49" i="6"/>
  <c r="D60" i="6"/>
  <c r="D68" i="6"/>
  <c r="D15" i="6"/>
  <c r="D24" i="6"/>
  <c r="D10" i="6"/>
  <c r="D70" i="6" s="1"/>
  <c r="D41" i="6"/>
  <c r="F12" i="5"/>
  <c r="B13" i="5"/>
  <c r="B15" i="5"/>
  <c r="B26" i="5"/>
  <c r="B30" i="5"/>
  <c r="B34" i="5"/>
  <c r="D34" i="5" s="1"/>
  <c r="F15" i="5"/>
  <c r="F17" i="5"/>
  <c r="F11" i="5"/>
  <c r="F14" i="5"/>
  <c r="B12" i="5"/>
  <c r="B14" i="5"/>
  <c r="C20" i="5"/>
  <c r="B20" i="5" s="1"/>
  <c r="G20" i="5"/>
  <c r="E35" i="5"/>
  <c r="E42" i="5" s="1"/>
  <c r="E41" i="5" s="1"/>
  <c r="D40" i="5"/>
  <c r="D41" i="5" s="1"/>
  <c r="C35" i="5"/>
  <c r="B28" i="5" s="1"/>
  <c r="G35" i="5"/>
  <c r="G42" i="5" s="1"/>
  <c r="G41" i="5" s="1"/>
  <c r="H58" i="7" l="1"/>
  <c r="H59" i="7" s="1"/>
  <c r="G25" i="7"/>
  <c r="G82" i="7" s="1"/>
  <c r="E87" i="7"/>
  <c r="J82" i="7"/>
  <c r="F87" i="7" s="1"/>
  <c r="F90" i="7" s="1"/>
  <c r="D82" i="7"/>
  <c r="D87" i="7" s="1"/>
  <c r="H32" i="7"/>
  <c r="H44" i="7" s="1"/>
  <c r="E82" i="7"/>
  <c r="D88" i="7" s="1"/>
  <c r="H67" i="7"/>
  <c r="H70" i="7" s="1"/>
  <c r="H80" i="7"/>
  <c r="I82" i="7"/>
  <c r="E88" i="7" s="1"/>
  <c r="K82" i="7"/>
  <c r="F88" i="7" s="1"/>
  <c r="H18" i="7"/>
  <c r="H25" i="7" s="1"/>
  <c r="H12" i="7"/>
  <c r="H16" i="7" s="1"/>
  <c r="E70" i="6"/>
  <c r="F34" i="5"/>
  <c r="F29" i="5"/>
  <c r="F31" i="5"/>
  <c r="E37" i="5"/>
  <c r="F26" i="5"/>
  <c r="B29" i="5"/>
  <c r="F25" i="5"/>
  <c r="F20" i="5"/>
  <c r="G37" i="5"/>
  <c r="B18" i="5"/>
  <c r="B10" i="5"/>
  <c r="F18" i="5"/>
  <c r="F27" i="5"/>
  <c r="F13" i="5"/>
  <c r="B32" i="5"/>
  <c r="B19" i="5"/>
  <c r="F33" i="5"/>
  <c r="F40" i="5"/>
  <c r="B35" i="5"/>
  <c r="C42" i="5"/>
  <c r="F30" i="5"/>
  <c r="B33" i="5"/>
  <c r="B25" i="5"/>
  <c r="B16" i="5"/>
  <c r="F32" i="5"/>
  <c r="F16" i="5"/>
  <c r="B11" i="5"/>
  <c r="F19" i="5"/>
  <c r="F10" i="5"/>
  <c r="B31" i="5"/>
  <c r="B27" i="5"/>
  <c r="B17" i="5"/>
  <c r="F28" i="5"/>
  <c r="D90" i="7" l="1"/>
  <c r="E90" i="7"/>
  <c r="H82" i="7"/>
  <c r="F35" i="5"/>
  <c r="C41" i="5"/>
  <c r="B40" i="5"/>
</calcChain>
</file>

<file path=xl/comments1.xml><?xml version="1.0" encoding="utf-8"?>
<comments xmlns="http://schemas.openxmlformats.org/spreadsheetml/2006/main">
  <authors>
    <author>סיון דדון</author>
  </authors>
  <commentList>
    <comment ref="J31" authorId="0" shapeId="0">
      <text>
        <r>
          <rPr>
            <b/>
            <sz val="9"/>
            <color rgb="FF000000"/>
            <rFont val="Tahoma"/>
            <family val="2"/>
          </rPr>
          <t>סיון דדון:</t>
        </r>
        <r>
          <rPr>
            <sz val="9"/>
            <color rgb="FF000000"/>
            <rFont val="Tahoma"/>
            <family val="2"/>
          </rPr>
          <t xml:space="preserve">
חטיבה חדשה
</t>
        </r>
      </text>
    </comment>
  </commentList>
</comments>
</file>

<file path=xl/sharedStrings.xml><?xml version="1.0" encoding="utf-8"?>
<sst xmlns="http://schemas.openxmlformats.org/spreadsheetml/2006/main" count="419" uniqueCount="161">
  <si>
    <t>עיריית קרית אונו</t>
  </si>
  <si>
    <t xml:space="preserve">הצעת התקציב לשנת 2018
ריכוז התקציב לפי נושאים </t>
  </si>
  <si>
    <t xml:space="preserve">(באלפי ₪) </t>
  </si>
  <si>
    <t>שנת 2017</t>
  </si>
  <si>
    <t>שנת 2018</t>
  </si>
  <si>
    <t>הכנסות</t>
  </si>
  <si>
    <t>אחוז</t>
  </si>
  <si>
    <t>תקציב 2017</t>
  </si>
  <si>
    <t>ביצוע 1-6/16</t>
  </si>
  <si>
    <t>ביצוע חצי שנתי 2017</t>
  </si>
  <si>
    <t>תקציב 2018</t>
  </si>
  <si>
    <t>ארנונה כללית</t>
  </si>
  <si>
    <t>מכירת מים</t>
  </si>
  <si>
    <t>הכנסות עצמיות - חינוך</t>
  </si>
  <si>
    <t>הכנסות עצמיות - רווחה</t>
  </si>
  <si>
    <t>יתר הכנסות עצמיות</t>
  </si>
  <si>
    <t>הכנסות משרד החינוך</t>
  </si>
  <si>
    <t>הכנסות משרד הרווחה</t>
  </si>
  <si>
    <t>הכנסות ממשלתיות</t>
  </si>
  <si>
    <t>מענק מיועדים</t>
  </si>
  <si>
    <t>הנחות ארנונה</t>
  </si>
  <si>
    <t>סה"כ הכנסות</t>
  </si>
  <si>
    <t>הוצאות</t>
  </si>
  <si>
    <t>שכר כללי</t>
  </si>
  <si>
    <t>פעולות כלליות</t>
  </si>
  <si>
    <t>שכר חינוך</t>
  </si>
  <si>
    <t>פעולות חינוך</t>
  </si>
  <si>
    <t>שכר רווחה</t>
  </si>
  <si>
    <t>פעולות רווחה</t>
  </si>
  <si>
    <t>פרעון מלוות</t>
  </si>
  <si>
    <t>הוצאות מימון</t>
  </si>
  <si>
    <t>עלויות פרישה ופיצויים</t>
  </si>
  <si>
    <t>הנחות ארנונה  (הוצאות)</t>
  </si>
  <si>
    <t>סה"כ הוצאות</t>
  </si>
  <si>
    <t>סה"כ גרעון-/עודף+</t>
  </si>
  <si>
    <t xml:space="preserve">שכר </t>
  </si>
  <si>
    <t>פעולות</t>
  </si>
  <si>
    <t>סה"כ</t>
  </si>
  <si>
    <t>עיריית קריית אונו</t>
  </si>
  <si>
    <t>הצעת תקציב לשנת 2018</t>
  </si>
  <si>
    <t>(באלפי ₪ )</t>
  </si>
  <si>
    <t xml:space="preserve">פרוט הכנסות </t>
  </si>
  <si>
    <t>פרק</t>
  </si>
  <si>
    <t>סעיף</t>
  </si>
  <si>
    <t>תקציב</t>
  </si>
  <si>
    <t>ביצוע 1-9/2015</t>
  </si>
  <si>
    <t>ביצוע חצי שנתי</t>
  </si>
  <si>
    <t>הצעת תקציב</t>
  </si>
  <si>
    <t>ארנונה</t>
  </si>
  <si>
    <t>הנחות</t>
  </si>
  <si>
    <t>סה"כ ארנונה</t>
  </si>
  <si>
    <t>אישורים ושלטים</t>
  </si>
  <si>
    <t>הכנסות מימון</t>
  </si>
  <si>
    <t>מענקים מיועדים</t>
  </si>
  <si>
    <t>סה"כ פרק 1</t>
  </si>
  <si>
    <t>תברואה</t>
  </si>
  <si>
    <t>בטחון</t>
  </si>
  <si>
    <t>תכנון ובנין עיר</t>
  </si>
  <si>
    <t>נכסים ציבורים</t>
  </si>
  <si>
    <t>הכנסות משכירות</t>
  </si>
  <si>
    <t>הכנסות שונות</t>
  </si>
  <si>
    <t>החזר הלוואות</t>
  </si>
  <si>
    <t>פיקוח עירוני</t>
  </si>
  <si>
    <t>סה"כ פרק 2</t>
  </si>
  <si>
    <t>חינוך קדם יסודי</t>
  </si>
  <si>
    <t>חינוך יסודי</t>
  </si>
  <si>
    <t>חינוך נלווה</t>
  </si>
  <si>
    <t>חטיבות ביניים</t>
  </si>
  <si>
    <t>ביה"ס תיכון</t>
  </si>
  <si>
    <t>אשכול פיס</t>
  </si>
  <si>
    <t>צהרונים</t>
  </si>
  <si>
    <t>שמירה וביטחון</t>
  </si>
  <si>
    <t>שרות פסיכולוגי</t>
  </si>
  <si>
    <t>טיפול בפרט</t>
  </si>
  <si>
    <t>מצילה</t>
  </si>
  <si>
    <t>הרשות למלחמה בסמים</t>
  </si>
  <si>
    <t>מועדון טיפולי</t>
  </si>
  <si>
    <t>קב"ס</t>
  </si>
  <si>
    <t>הסעות</t>
  </si>
  <si>
    <t>סה"כ חינוך</t>
  </si>
  <si>
    <t>פירוט ההכנסות-המשך</t>
  </si>
  <si>
    <t>נוער</t>
  </si>
  <si>
    <t>ספורט</t>
  </si>
  <si>
    <t>סה"כ תרבות וספורט</t>
  </si>
  <si>
    <t>מינהל רווחה</t>
  </si>
  <si>
    <t>רווחת הפרט והמשפחה</t>
  </si>
  <si>
    <t>שרותים לילד ולנוער</t>
  </si>
  <si>
    <t>שרותים לזקן</t>
  </si>
  <si>
    <t>שרותים למפגר</t>
  </si>
  <si>
    <t>שרותי שיקום</t>
  </si>
  <si>
    <t>שרותי תיקון</t>
  </si>
  <si>
    <t>עבודה קהילתית</t>
  </si>
  <si>
    <t>שרותים לעולים</t>
  </si>
  <si>
    <t>סה"כ רווחה</t>
  </si>
  <si>
    <t>קליטת עליה</t>
  </si>
  <si>
    <t>אגרת מים</t>
  </si>
  <si>
    <t>שונות מים+חיוב תאגיד</t>
  </si>
  <si>
    <t>ביוב</t>
  </si>
  <si>
    <t>הכנסות ביוב</t>
  </si>
  <si>
    <t>החזר הוצ' ש.קודמות</t>
  </si>
  <si>
    <t>סה"כ פרק 4-5</t>
  </si>
  <si>
    <t>סך הכל הכנסות</t>
  </si>
  <si>
    <t>פירוט הוצאות</t>
  </si>
  <si>
    <t>תקציב לשנת 2017</t>
  </si>
  <si>
    <t>הצעת תקציב 
לשנת 2018</t>
  </si>
  <si>
    <t>שכר</t>
  </si>
  <si>
    <t>מינהל כללי</t>
  </si>
  <si>
    <t>מינהל כספי</t>
  </si>
  <si>
    <t>סה"כ הנהלה כללית</t>
  </si>
  <si>
    <t>תברואה וניקיון</t>
  </si>
  <si>
    <t>עבודות גינון</t>
  </si>
  <si>
    <t>חגיגות וארועים</t>
  </si>
  <si>
    <t>שרותים עירוניים</t>
  </si>
  <si>
    <t>סה"כ שרותים מקומיים</t>
  </si>
  <si>
    <t>מינהל חינוך</t>
  </si>
  <si>
    <t>גני ילדים</t>
  </si>
  <si>
    <t xml:space="preserve">מחוננים יהלום </t>
  </si>
  <si>
    <t>אנטרפוסופי</t>
  </si>
  <si>
    <t>חטיבות הביניים</t>
  </si>
  <si>
    <t>תיכון בן צבי</t>
  </si>
  <si>
    <t>תפוח פיס</t>
  </si>
  <si>
    <t xml:space="preserve">בי"ס מנגן </t>
  </si>
  <si>
    <t>שמירה מוסדות חינוך</t>
  </si>
  <si>
    <t>שירות פסיכולוגי</t>
  </si>
  <si>
    <t>רשות למלחמה בסמים</t>
  </si>
  <si>
    <t>עיר ללא אלימות</t>
  </si>
  <si>
    <t>מ.טיפולי</t>
  </si>
  <si>
    <t>מתנ"ס - צהרונים</t>
  </si>
  <si>
    <t>הסעות וליווי</t>
  </si>
  <si>
    <t>אגרות ת.חוץ</t>
  </si>
  <si>
    <t>פירוט הוצאות-המשך</t>
  </si>
  <si>
    <t>מינהלת נשים</t>
  </si>
  <si>
    <t>תרבות שונות</t>
  </si>
  <si>
    <t>תמיכות מתנ"ס</t>
  </si>
  <si>
    <t>מתנ"ס קבלניות</t>
  </si>
  <si>
    <t>מתנ"ס ארועים</t>
  </si>
  <si>
    <t>מתנ"ס צהרונים</t>
  </si>
  <si>
    <t>חינוך מוזיקלי</t>
  </si>
  <si>
    <t>מוקד תרבות</t>
  </si>
  <si>
    <t>תרבות תורנית</t>
  </si>
  <si>
    <t>פרט ומשפחה</t>
  </si>
  <si>
    <t>לילד ולנוער</t>
  </si>
  <si>
    <t>שיקום</t>
  </si>
  <si>
    <t>שרותי תקון</t>
  </si>
  <si>
    <t>מועצה דתית</t>
  </si>
  <si>
    <t>קליטה עליה ושי"ל</t>
  </si>
  <si>
    <t>פנסיה</t>
  </si>
  <si>
    <t>סה"כ לפרק 9</t>
  </si>
  <si>
    <t xml:space="preserve">סיכום הוצאות </t>
  </si>
  <si>
    <t>הוצאות שכר</t>
  </si>
  <si>
    <t>הוצאות לפעולות</t>
  </si>
  <si>
    <t xml:space="preserve">הצעת התקציב לשנת 2017
ריכוז התקציב לפי נושאים </t>
  </si>
  <si>
    <t>שנת 2016</t>
  </si>
  <si>
    <t>תקציב 2016</t>
  </si>
  <si>
    <t>אומדן ביצוע 2016</t>
  </si>
  <si>
    <t>הצעת תקציב לשנת 2017</t>
  </si>
  <si>
    <t>אומדן ביצוע</t>
  </si>
  <si>
    <t>בית ספר מנגן</t>
  </si>
  <si>
    <t>תקציב לשנת 2016</t>
  </si>
  <si>
    <t>אומדן ביצוע לשנת 2016</t>
  </si>
  <si>
    <t>הצעת תקציב 
לשנת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</si>
</sst>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0.000"/>
    <numFmt numFmtId="167" formatCode="0.0"/>
    <numFmt numFmtId="168" formatCode="0.00000"/>
    <numFmt numFmtId="169" formatCode="0.0000"/>
    <numFmt numFmtId="170" formatCode="\(\(#,##0\);[Red]\(#,##0\)"/>
    <numFmt numFmtId="171" formatCode="_ * #,##0.000_ ;_ * \-#,##0.000_ ;_ * &quot;-&quot;??_ ;_ @_ "/>
  </numFmts>
  <fonts count="32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</font>
    <font>
      <b/>
      <u/>
      <sz val="18"/>
      <color theme="1"/>
      <name val="David"/>
      <family val="2"/>
      <charset val="177"/>
    </font>
    <font>
      <sz val="18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u val="doubleAccounting"/>
      <sz val="12"/>
      <color theme="1"/>
      <name val="David"/>
      <family val="2"/>
      <charset val="177"/>
    </font>
    <font>
      <sz val="10"/>
      <name val="Arial"/>
      <family val="2"/>
    </font>
    <font>
      <b/>
      <u/>
      <sz val="18"/>
      <name val="David"/>
      <family val="2"/>
      <charset val="177"/>
    </font>
    <font>
      <sz val="18"/>
      <color rgb="FF000000"/>
      <name val="David"/>
      <family val="2"/>
      <charset val="177"/>
    </font>
    <font>
      <b/>
      <u/>
      <sz val="12"/>
      <color rgb="FF000000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12"/>
      <name val="David"/>
      <family val="2"/>
      <charset val="177"/>
    </font>
    <font>
      <b/>
      <sz val="12"/>
      <name val="David"/>
      <family val="2"/>
      <charset val="177"/>
    </font>
    <font>
      <sz val="12"/>
      <color rgb="FF000000"/>
      <name val="David"/>
      <family val="2"/>
      <charset val="177"/>
    </font>
    <font>
      <b/>
      <u val="double"/>
      <sz val="12"/>
      <color rgb="FF000000"/>
      <name val="David"/>
      <family val="2"/>
      <charset val="177"/>
    </font>
    <font>
      <b/>
      <u/>
      <sz val="12"/>
      <name val="David"/>
      <family val="2"/>
      <charset val="177"/>
    </font>
    <font>
      <sz val="12"/>
      <color rgb="FF0000FF"/>
      <name val="David"/>
      <family val="2"/>
      <charset val="177"/>
    </font>
    <font>
      <sz val="12"/>
      <name val="Arial"/>
      <family val="2"/>
    </font>
    <font>
      <b/>
      <u/>
      <sz val="16"/>
      <color rgb="FF000000"/>
      <name val="David"/>
      <family val="2"/>
      <charset val="177"/>
    </font>
    <font>
      <sz val="16"/>
      <color rgb="FF000000"/>
      <name val="Calibri"/>
      <family val="2"/>
      <charset val="177"/>
    </font>
    <font>
      <b/>
      <u/>
      <sz val="16"/>
      <name val="David"/>
      <family val="2"/>
      <charset val="177"/>
    </font>
    <font>
      <sz val="11"/>
      <color rgb="FF000000"/>
      <name val="David"/>
      <family val="2"/>
      <charset val="177"/>
    </font>
    <font>
      <b/>
      <u val="singleAccounting"/>
      <sz val="12"/>
      <name val="David"/>
      <family val="2"/>
      <charset val="177"/>
    </font>
    <font>
      <b/>
      <sz val="12"/>
      <color rgb="FFFF0000"/>
      <name val="David"/>
      <family val="2"/>
      <charset val="177"/>
    </font>
    <font>
      <b/>
      <u val="doubleAccounting"/>
      <sz val="12"/>
      <color rgb="FF000000"/>
      <name val="David"/>
      <family val="2"/>
      <charset val="177"/>
    </font>
    <font>
      <b/>
      <u/>
      <sz val="18"/>
      <color rgb="FF000000"/>
      <name val="David"/>
      <family val="2"/>
      <charset val="177"/>
    </font>
    <font>
      <b/>
      <sz val="14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380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0" fillId="0" borderId="1" xfId="0" applyBorder="1"/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64" fontId="6" fillId="0" borderId="9" xfId="2" applyNumberFormat="1" applyFont="1" applyBorder="1" applyAlignment="1">
      <alignment horizontal="right" vertical="center"/>
    </xf>
    <xf numFmtId="165" fontId="6" fillId="0" borderId="6" xfId="0" applyNumberFormat="1" applyFont="1" applyBorder="1" applyAlignment="1">
      <alignment horizontal="right" vertical="center"/>
    </xf>
    <xf numFmtId="165" fontId="6" fillId="0" borderId="7" xfId="0" applyNumberFormat="1" applyFont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5" fontId="6" fillId="0" borderId="11" xfId="0" applyNumberFormat="1" applyFont="1" applyBorder="1" applyAlignment="1">
      <alignment horizontal="right" vertical="center"/>
    </xf>
    <xf numFmtId="9" fontId="6" fillId="0" borderId="11" xfId="2" applyFont="1" applyBorder="1" applyAlignment="1">
      <alignment horizontal="right" vertical="center"/>
    </xf>
    <xf numFmtId="165" fontId="7" fillId="0" borderId="12" xfId="1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64" fontId="6" fillId="0" borderId="6" xfId="2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164" fontId="6" fillId="0" borderId="9" xfId="2" applyNumberFormat="1" applyFont="1" applyFill="1" applyBorder="1" applyAlignment="1">
      <alignment horizontal="right" vertical="center"/>
    </xf>
    <xf numFmtId="165" fontId="6" fillId="0" borderId="10" xfId="1" applyNumberFormat="1" applyFont="1" applyBorder="1" applyAlignment="1">
      <alignment horizontal="right" vertical="center"/>
    </xf>
    <xf numFmtId="9" fontId="6" fillId="0" borderId="10" xfId="2" applyFont="1" applyBorder="1" applyAlignment="1">
      <alignment horizontal="right" vertical="center"/>
    </xf>
    <xf numFmtId="165" fontId="6" fillId="0" borderId="16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6" fillId="0" borderId="18" xfId="1" applyNumberFormat="1" applyFont="1" applyFill="1" applyBorder="1" applyAlignment="1">
      <alignment horizontal="right" vertical="center"/>
    </xf>
    <xf numFmtId="165" fontId="6" fillId="0" borderId="19" xfId="0" applyNumberFormat="1" applyFont="1" applyBorder="1" applyAlignment="1">
      <alignment horizontal="right" vertical="center"/>
    </xf>
    <xf numFmtId="164" fontId="6" fillId="0" borderId="20" xfId="2" applyNumberFormat="1" applyFont="1" applyBorder="1" applyAlignment="1">
      <alignment horizontal="right" vertical="center"/>
    </xf>
    <xf numFmtId="165" fontId="6" fillId="0" borderId="20" xfId="0" applyNumberFormat="1" applyFont="1" applyBorder="1" applyAlignment="1">
      <alignment horizontal="right" vertical="center"/>
    </xf>
    <xf numFmtId="165" fontId="6" fillId="0" borderId="21" xfId="0" applyNumberFormat="1" applyFont="1" applyBorder="1" applyAlignment="1">
      <alignment horizontal="right" vertical="center"/>
    </xf>
    <xf numFmtId="165" fontId="6" fillId="0" borderId="22" xfId="1" applyNumberFormat="1" applyFont="1" applyBorder="1" applyAlignment="1">
      <alignment horizontal="right" vertical="center"/>
    </xf>
    <xf numFmtId="165" fontId="6" fillId="0" borderId="23" xfId="1" applyNumberFormat="1" applyFont="1" applyBorder="1" applyAlignment="1">
      <alignment horizontal="right" vertical="center"/>
    </xf>
    <xf numFmtId="164" fontId="6" fillId="0" borderId="0" xfId="2" applyNumberFormat="1" applyFont="1" applyBorder="1" applyAlignment="1">
      <alignment horizontal="right" vertical="center"/>
    </xf>
    <xf numFmtId="165" fontId="6" fillId="0" borderId="24" xfId="1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165" fontId="7" fillId="0" borderId="26" xfId="1" applyNumberFormat="1" applyFont="1" applyBorder="1" applyAlignment="1">
      <alignment horizontal="right" vertical="center"/>
    </xf>
    <xf numFmtId="165" fontId="7" fillId="0" borderId="27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2" fillId="0" borderId="33" xfId="3" applyFont="1" applyFill="1" applyBorder="1" applyAlignment="1">
      <alignment horizontal="center"/>
    </xf>
    <xf numFmtId="0" fontId="12" fillId="0" borderId="36" xfId="3" applyFont="1" applyFill="1" applyBorder="1" applyAlignment="1">
      <alignment horizontal="center" wrapText="1"/>
    </xf>
    <xf numFmtId="0" fontId="14" fillId="0" borderId="36" xfId="3" applyFont="1" applyFill="1" applyBorder="1" applyAlignment="1">
      <alignment horizontal="center"/>
    </xf>
    <xf numFmtId="0" fontId="12" fillId="0" borderId="37" xfId="3" quotePrefix="1" applyFont="1" applyFill="1" applyBorder="1" applyAlignment="1">
      <alignment horizontal="center"/>
    </xf>
    <xf numFmtId="166" fontId="12" fillId="0" borderId="8" xfId="3" applyNumberFormat="1" applyFont="1" applyFill="1" applyBorder="1" applyAlignment="1">
      <alignment horizontal="center"/>
    </xf>
    <xf numFmtId="3" fontId="12" fillId="0" borderId="9" xfId="3" applyNumberFormat="1" applyFont="1" applyFill="1" applyBorder="1" applyAlignment="1">
      <alignment horizontal="center"/>
    </xf>
    <xf numFmtId="3" fontId="15" fillId="0" borderId="9" xfId="3" applyNumberFormat="1" applyFont="1" applyFill="1" applyBorder="1" applyAlignment="1">
      <alignment horizontal="center"/>
    </xf>
    <xf numFmtId="3" fontId="15" fillId="0" borderId="38" xfId="3" applyNumberFormat="1" applyFont="1" applyFill="1" applyBorder="1" applyAlignment="1">
      <alignment horizontal="center"/>
    </xf>
    <xf numFmtId="166" fontId="12" fillId="0" borderId="39" xfId="3" applyNumberFormat="1" applyFont="1" applyFill="1" applyBorder="1" applyAlignment="1">
      <alignment horizontal="center"/>
    </xf>
    <xf numFmtId="3" fontId="12" fillId="0" borderId="36" xfId="3" applyNumberFormat="1" applyFont="1" applyFill="1" applyBorder="1" applyAlignment="1">
      <alignment horizontal="center"/>
    </xf>
    <xf numFmtId="3" fontId="15" fillId="0" borderId="36" xfId="3" applyNumberFormat="1" applyFont="1" applyFill="1" applyBorder="1" applyAlignment="1">
      <alignment horizontal="center"/>
    </xf>
    <xf numFmtId="3" fontId="15" fillId="0" borderId="37" xfId="3" applyNumberFormat="1" applyFont="1" applyFill="1" applyBorder="1" applyAlignment="1">
      <alignment horizontal="center"/>
    </xf>
    <xf numFmtId="167" fontId="12" fillId="0" borderId="13" xfId="3" applyNumberFormat="1" applyFont="1" applyFill="1" applyBorder="1" applyAlignment="1">
      <alignment horizontal="center"/>
    </xf>
    <xf numFmtId="3" fontId="12" fillId="0" borderId="14" xfId="3" applyNumberFormat="1" applyFont="1" applyFill="1" applyBorder="1" applyAlignment="1">
      <alignment horizontal="center"/>
    </xf>
    <xf numFmtId="3" fontId="16" fillId="0" borderId="14" xfId="3" applyNumberFormat="1" applyFont="1" applyFill="1" applyBorder="1" applyAlignment="1">
      <alignment horizontal="center"/>
    </xf>
    <xf numFmtId="3" fontId="16" fillId="0" borderId="18" xfId="3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12" fillId="0" borderId="40" xfId="3" applyNumberFormat="1" applyFont="1" applyFill="1" applyBorder="1" applyAlignment="1">
      <alignment horizontal="right" indent="2"/>
    </xf>
    <xf numFmtId="165" fontId="14" fillId="0" borderId="32" xfId="1" applyNumberFormat="1" applyFont="1" applyFill="1" applyBorder="1" applyAlignment="1">
      <alignment horizontal="center"/>
    </xf>
    <xf numFmtId="3" fontId="15" fillId="0" borderId="41" xfId="3" applyNumberFormat="1" applyFont="1" applyFill="1" applyBorder="1" applyAlignment="1">
      <alignment horizontal="center"/>
    </xf>
    <xf numFmtId="3" fontId="15" fillId="0" borderId="33" xfId="3" applyNumberFormat="1" applyFont="1" applyFill="1" applyBorder="1" applyAlignment="1">
      <alignment horizontal="center"/>
    </xf>
    <xf numFmtId="2" fontId="12" fillId="0" borderId="42" xfId="3" applyNumberFormat="1" applyFont="1" applyFill="1" applyBorder="1" applyAlignment="1">
      <alignment horizontal="center"/>
    </xf>
    <xf numFmtId="165" fontId="14" fillId="0" borderId="43" xfId="1" applyNumberFormat="1" applyFont="1" applyFill="1" applyBorder="1" applyAlignment="1">
      <alignment horizontal="center"/>
    </xf>
    <xf numFmtId="166" fontId="12" fillId="0" borderId="44" xfId="3" applyNumberFormat="1" applyFont="1" applyFill="1" applyBorder="1" applyAlignment="1">
      <alignment horizontal="center"/>
    </xf>
    <xf numFmtId="165" fontId="14" fillId="0" borderId="45" xfId="1" applyNumberFormat="1" applyFont="1" applyFill="1" applyBorder="1" applyAlignment="1">
      <alignment horizontal="center"/>
    </xf>
    <xf numFmtId="167" fontId="14" fillId="0" borderId="46" xfId="1" applyNumberFormat="1" applyFont="1" applyFill="1" applyBorder="1" applyAlignment="1">
      <alignment horizontal="center"/>
    </xf>
    <xf numFmtId="165" fontId="14" fillId="0" borderId="47" xfId="1" applyNumberFormat="1" applyFont="1" applyFill="1" applyBorder="1" applyAlignment="1">
      <alignment horizontal="center"/>
    </xf>
    <xf numFmtId="168" fontId="14" fillId="0" borderId="0" xfId="1" applyNumberFormat="1" applyFont="1" applyFill="1" applyBorder="1" applyAlignment="1">
      <alignment horizontal="center"/>
    </xf>
    <xf numFmtId="2" fontId="14" fillId="0" borderId="48" xfId="1" applyNumberFormat="1" applyFont="1" applyFill="1" applyBorder="1" applyAlignment="1">
      <alignment horizontal="center"/>
    </xf>
    <xf numFmtId="165" fontId="14" fillId="0" borderId="41" xfId="1" applyNumberFormat="1" applyFont="1" applyFill="1" applyBorder="1" applyAlignment="1">
      <alignment horizontal="center"/>
    </xf>
    <xf numFmtId="2" fontId="14" fillId="0" borderId="8" xfId="1" applyNumberFormat="1" applyFont="1" applyFill="1" applyBorder="1" applyAlignment="1">
      <alignment horizontal="center"/>
    </xf>
    <xf numFmtId="165" fontId="14" fillId="0" borderId="9" xfId="1" applyNumberFormat="1" applyFont="1" applyFill="1" applyBorder="1" applyAlignment="1">
      <alignment horizontal="center"/>
    </xf>
    <xf numFmtId="2" fontId="14" fillId="0" borderId="10" xfId="1" applyNumberFormat="1" applyFont="1" applyFill="1" applyBorder="1" applyAlignment="1">
      <alignment horizontal="center"/>
    </xf>
    <xf numFmtId="165" fontId="14" fillId="0" borderId="11" xfId="1" applyNumberFormat="1" applyFont="1" applyFill="1" applyBorder="1" applyAlignment="1">
      <alignment horizontal="center"/>
    </xf>
    <xf numFmtId="3" fontId="15" fillId="0" borderId="11" xfId="3" applyNumberFormat="1" applyFont="1" applyFill="1" applyBorder="1" applyAlignment="1">
      <alignment horizontal="center"/>
    </xf>
    <xf numFmtId="3" fontId="15" fillId="0" borderId="12" xfId="3" applyNumberFormat="1" applyFont="1" applyFill="1" applyBorder="1" applyAlignment="1">
      <alignment horizontal="center"/>
    </xf>
    <xf numFmtId="167" fontId="14" fillId="0" borderId="49" xfId="1" applyNumberFormat="1" applyFont="1" applyFill="1" applyBorder="1" applyAlignment="1">
      <alignment horizontal="center"/>
    </xf>
    <xf numFmtId="165" fontId="14" fillId="0" borderId="50" xfId="1" applyNumberFormat="1" applyFont="1" applyFill="1" applyBorder="1" applyAlignment="1">
      <alignment horizontal="center"/>
    </xf>
    <xf numFmtId="3" fontId="16" fillId="0" borderId="50" xfId="3" applyNumberFormat="1" applyFont="1" applyFill="1" applyBorder="1" applyAlignment="1">
      <alignment horizontal="center"/>
    </xf>
    <xf numFmtId="3" fontId="16" fillId="0" borderId="16" xfId="3" applyNumberFormat="1" applyFont="1" applyFill="1" applyBorder="1" applyAlignment="1">
      <alignment horizontal="center"/>
    </xf>
    <xf numFmtId="166" fontId="14" fillId="0" borderId="48" xfId="1" applyNumberFormat="1" applyFont="1" applyFill="1" applyBorder="1" applyAlignment="1">
      <alignment horizontal="center"/>
    </xf>
    <xf numFmtId="169" fontId="14" fillId="0" borderId="8" xfId="1" applyNumberFormat="1" applyFont="1" applyFill="1" applyBorder="1" applyAlignment="1">
      <alignment horizontal="center"/>
    </xf>
    <xf numFmtId="166" fontId="14" fillId="0" borderId="8" xfId="1" applyNumberFormat="1" applyFont="1" applyFill="1" applyBorder="1" applyAlignment="1">
      <alignment horizontal="center"/>
    </xf>
    <xf numFmtId="169" fontId="14" fillId="0" borderId="10" xfId="1" applyNumberFormat="1" applyFont="1" applyFill="1" applyBorder="1" applyAlignment="1">
      <alignment horizontal="center"/>
    </xf>
    <xf numFmtId="2" fontId="14" fillId="0" borderId="49" xfId="1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8" fontId="17" fillId="0" borderId="0" xfId="1" applyNumberFormat="1" applyFont="1" applyFill="1" applyBorder="1" applyAlignment="1">
      <alignment horizontal="right"/>
    </xf>
    <xf numFmtId="0" fontId="18" fillId="0" borderId="0" xfId="3" applyFont="1" applyFill="1" applyBorder="1" applyAlignment="1">
      <alignment horizontal="center"/>
    </xf>
    <xf numFmtId="166" fontId="14" fillId="0" borderId="10" xfId="1" applyNumberFormat="1" applyFont="1" applyFill="1" applyBorder="1" applyAlignment="1">
      <alignment horizontal="center"/>
    </xf>
    <xf numFmtId="2" fontId="14" fillId="0" borderId="13" xfId="1" applyNumberFormat="1" applyFont="1" applyFill="1" applyBorder="1" applyAlignment="1">
      <alignment horizontal="center"/>
    </xf>
    <xf numFmtId="165" fontId="14" fillId="0" borderId="14" xfId="1" applyNumberFormat="1" applyFont="1" applyFill="1" applyBorder="1" applyAlignment="1">
      <alignment horizontal="center"/>
    </xf>
    <xf numFmtId="3" fontId="15" fillId="0" borderId="14" xfId="3" applyNumberFormat="1" applyFont="1" applyFill="1" applyBorder="1" applyAlignment="1">
      <alignment horizontal="center"/>
    </xf>
    <xf numFmtId="3" fontId="15" fillId="0" borderId="18" xfId="3" applyNumberFormat="1" applyFont="1" applyFill="1" applyBorder="1" applyAlignment="1">
      <alignment horizontal="center"/>
    </xf>
    <xf numFmtId="169" fontId="14" fillId="0" borderId="48" xfId="1" applyNumberFormat="1" applyFont="1" applyFill="1" applyBorder="1" applyAlignment="1">
      <alignment horizontal="center"/>
    </xf>
    <xf numFmtId="167" fontId="14" fillId="0" borderId="25" xfId="1" applyNumberFormat="1" applyFont="1" applyFill="1" applyBorder="1" applyAlignment="1">
      <alignment horizontal="center"/>
    </xf>
    <xf numFmtId="165" fontId="14" fillId="0" borderId="26" xfId="1" applyNumberFormat="1" applyFont="1" applyFill="1" applyBorder="1" applyAlignment="1">
      <alignment horizontal="center"/>
    </xf>
    <xf numFmtId="0" fontId="19" fillId="0" borderId="0" xfId="3" applyFont="1" applyFill="1" applyBorder="1"/>
    <xf numFmtId="0" fontId="20" fillId="0" borderId="0" xfId="0" applyFont="1" applyFill="1" applyBorder="1"/>
    <xf numFmtId="0" fontId="21" fillId="0" borderId="0" xfId="0" applyFont="1" applyFill="1" applyBorder="1"/>
    <xf numFmtId="0" fontId="13" fillId="2" borderId="0" xfId="3" applyFont="1" applyFill="1" applyBorder="1" applyAlignment="1">
      <alignment horizontal="centerContinuous"/>
    </xf>
    <xf numFmtId="0" fontId="13" fillId="0" borderId="0" xfId="3" applyFont="1" applyFill="1" applyBorder="1"/>
    <xf numFmtId="0" fontId="13" fillId="2" borderId="48" xfId="3" applyFont="1" applyFill="1" applyBorder="1" applyAlignment="1">
      <alignment horizontal="center"/>
    </xf>
    <xf numFmtId="0" fontId="13" fillId="2" borderId="41" xfId="3" applyFont="1" applyFill="1" applyBorder="1" applyAlignment="1">
      <alignment horizontal="center"/>
    </xf>
    <xf numFmtId="0" fontId="14" fillId="2" borderId="10" xfId="3" applyFont="1" applyFill="1" applyBorder="1" applyAlignment="1">
      <alignment horizontal="center"/>
    </xf>
    <xf numFmtId="0" fontId="14" fillId="2" borderId="11" xfId="3" applyFont="1" applyFill="1" applyBorder="1" applyAlignment="1">
      <alignment horizontal="center"/>
    </xf>
    <xf numFmtId="0" fontId="14" fillId="2" borderId="11" xfId="3" applyFont="1" applyFill="1" applyBorder="1"/>
    <xf numFmtId="0" fontId="14" fillId="2" borderId="12" xfId="3" applyFont="1" applyFill="1" applyBorder="1"/>
    <xf numFmtId="0" fontId="14" fillId="2" borderId="5" xfId="3" applyFont="1" applyFill="1" applyBorder="1"/>
    <xf numFmtId="0" fontId="14" fillId="2" borderId="6" xfId="3" applyFont="1" applyFill="1" applyBorder="1"/>
    <xf numFmtId="165" fontId="14" fillId="2" borderId="6" xfId="4" applyNumberFormat="1" applyFont="1" applyFill="1" applyBorder="1"/>
    <xf numFmtId="165" fontId="14" fillId="2" borderId="7" xfId="4" applyNumberFormat="1" applyFont="1" applyFill="1" applyBorder="1"/>
    <xf numFmtId="0" fontId="14" fillId="2" borderId="8" xfId="3" applyFont="1" applyFill="1" applyBorder="1"/>
    <xf numFmtId="0" fontId="14" fillId="2" borderId="9" xfId="3" applyFont="1" applyFill="1" applyBorder="1"/>
    <xf numFmtId="165" fontId="14" fillId="2" borderId="9" xfId="4" applyNumberFormat="1" applyFont="1" applyFill="1" applyBorder="1"/>
    <xf numFmtId="165" fontId="14" fillId="2" borderId="38" xfId="4" applyNumberFormat="1" applyFont="1" applyFill="1" applyBorder="1"/>
    <xf numFmtId="0" fontId="14" fillId="2" borderId="39" xfId="3" applyFont="1" applyFill="1" applyBorder="1"/>
    <xf numFmtId="0" fontId="14" fillId="2" borderId="36" xfId="3" applyFont="1" applyFill="1" applyBorder="1"/>
    <xf numFmtId="165" fontId="14" fillId="2" borderId="36" xfId="4" applyNumberFormat="1" applyFont="1" applyFill="1" applyBorder="1"/>
    <xf numFmtId="165" fontId="14" fillId="2" borderId="37" xfId="4" applyNumberFormat="1" applyFont="1" applyFill="1" applyBorder="1"/>
    <xf numFmtId="0" fontId="14" fillId="2" borderId="13" xfId="3" applyFont="1" applyFill="1" applyBorder="1"/>
    <xf numFmtId="0" fontId="14" fillId="2" borderId="14" xfId="3" applyFont="1" applyFill="1" applyBorder="1"/>
    <xf numFmtId="165" fontId="24" fillId="2" borderId="14" xfId="4" applyNumberFormat="1" applyFont="1" applyFill="1" applyBorder="1"/>
    <xf numFmtId="165" fontId="24" fillId="2" borderId="18" xfId="4" applyNumberFormat="1" applyFont="1" applyFill="1" applyBorder="1"/>
    <xf numFmtId="0" fontId="14" fillId="2" borderId="0" xfId="3" applyFont="1" applyFill="1" applyBorder="1"/>
    <xf numFmtId="165" fontId="14" fillId="2" borderId="0" xfId="4" applyNumberFormat="1" applyFont="1" applyFill="1" applyBorder="1"/>
    <xf numFmtId="0" fontId="14" fillId="2" borderId="48" xfId="3" applyFont="1" applyFill="1" applyBorder="1"/>
    <xf numFmtId="0" fontId="14" fillId="2" borderId="41" xfId="3" quotePrefix="1" applyFont="1" applyFill="1" applyBorder="1" applyAlignment="1">
      <alignment horizontal="right"/>
    </xf>
    <xf numFmtId="165" fontId="14" fillId="2" borderId="41" xfId="4" applyNumberFormat="1" applyFont="1" applyFill="1" applyBorder="1"/>
    <xf numFmtId="165" fontId="14" fillId="2" borderId="33" xfId="4" applyNumberFormat="1" applyFont="1" applyFill="1" applyBorder="1"/>
    <xf numFmtId="0" fontId="14" fillId="0" borderId="8" xfId="3" applyFont="1" applyFill="1" applyBorder="1"/>
    <xf numFmtId="0" fontId="14" fillId="0" borderId="9" xfId="3" applyFont="1" applyFill="1" applyBorder="1"/>
    <xf numFmtId="0" fontId="14" fillId="2" borderId="17" xfId="3" applyFont="1" applyFill="1" applyBorder="1"/>
    <xf numFmtId="165" fontId="24" fillId="2" borderId="13" xfId="4" applyNumberFormat="1" applyFont="1" applyFill="1" applyBorder="1"/>
    <xf numFmtId="0" fontId="14" fillId="2" borderId="41" xfId="3" applyFont="1" applyFill="1" applyBorder="1"/>
    <xf numFmtId="0" fontId="25" fillId="2" borderId="8" xfId="3" applyFont="1" applyFill="1" applyBorder="1"/>
    <xf numFmtId="0" fontId="25" fillId="2" borderId="9" xfId="3" applyFont="1" applyFill="1" applyBorder="1"/>
    <xf numFmtId="0" fontId="14" fillId="0" borderId="9" xfId="0" applyFont="1" applyFill="1" applyBorder="1"/>
    <xf numFmtId="0" fontId="17" fillId="0" borderId="0" xfId="3" applyFont="1" applyFill="1" applyBorder="1" applyAlignment="1"/>
    <xf numFmtId="0" fontId="22" fillId="2" borderId="0" xfId="3" applyFont="1" applyFill="1" applyBorder="1" applyAlignment="1"/>
    <xf numFmtId="0" fontId="17" fillId="2" borderId="0" xfId="3" applyFont="1" applyFill="1" applyBorder="1" applyAlignment="1">
      <alignment horizontal="right"/>
    </xf>
    <xf numFmtId="0" fontId="14" fillId="2" borderId="5" xfId="3" applyFont="1" applyFill="1" applyBorder="1" applyAlignment="1">
      <alignment horizontal="right"/>
    </xf>
    <xf numFmtId="0" fontId="14" fillId="2" borderId="6" xfId="3" applyFont="1" applyFill="1" applyBorder="1" applyAlignment="1">
      <alignment horizontal="right"/>
    </xf>
    <xf numFmtId="4" fontId="14" fillId="2" borderId="8" xfId="3" applyNumberFormat="1" applyFont="1" applyFill="1" applyBorder="1"/>
    <xf numFmtId="0" fontId="12" fillId="2" borderId="9" xfId="3" applyFont="1" applyFill="1" applyBorder="1"/>
    <xf numFmtId="0" fontId="12" fillId="2" borderId="36" xfId="3" applyFont="1" applyFill="1" applyBorder="1" applyAlignment="1">
      <alignment horizontal="right"/>
    </xf>
    <xf numFmtId="0" fontId="12" fillId="2" borderId="14" xfId="3" applyFont="1" applyFill="1" applyBorder="1"/>
    <xf numFmtId="165" fontId="26" fillId="2" borderId="14" xfId="4" applyNumberFormat="1" applyFont="1" applyFill="1" applyBorder="1"/>
    <xf numFmtId="165" fontId="26" fillId="2" borderId="18" xfId="4" applyNumberFormat="1" applyFont="1" applyFill="1" applyBorder="1"/>
    <xf numFmtId="0" fontId="12" fillId="2" borderId="0" xfId="3" applyFont="1" applyFill="1" applyBorder="1"/>
    <xf numFmtId="165" fontId="12" fillId="2" borderId="0" xfId="4" applyNumberFormat="1" applyFont="1" applyFill="1" applyBorder="1"/>
    <xf numFmtId="0" fontId="12" fillId="2" borderId="41" xfId="3" applyFont="1" applyFill="1" applyBorder="1"/>
    <xf numFmtId="0" fontId="12" fillId="2" borderId="36" xfId="3" applyFont="1" applyFill="1" applyBorder="1"/>
    <xf numFmtId="0" fontId="12" fillId="2" borderId="13" xfId="3" applyFont="1" applyFill="1" applyBorder="1"/>
    <xf numFmtId="165" fontId="14" fillId="2" borderId="14" xfId="4" applyNumberFormat="1" applyFont="1" applyFill="1" applyBorder="1"/>
    <xf numFmtId="165" fontId="14" fillId="2" borderId="18" xfId="4" applyNumberFormat="1" applyFont="1" applyFill="1" applyBorder="1"/>
    <xf numFmtId="0" fontId="12" fillId="2" borderId="0" xfId="3" applyFont="1" applyFill="1" applyBorder="1" applyAlignment="1">
      <alignment horizontal="centerContinuous"/>
    </xf>
    <xf numFmtId="0" fontId="15" fillId="2" borderId="0" xfId="3" applyFont="1" applyFill="1" applyBorder="1"/>
    <xf numFmtId="0" fontId="12" fillId="2" borderId="28" xfId="3" applyFont="1" applyFill="1" applyBorder="1"/>
    <xf numFmtId="0" fontId="12" fillId="2" borderId="29" xfId="3" applyFont="1" applyFill="1" applyBorder="1"/>
    <xf numFmtId="165" fontId="14" fillId="2" borderId="29" xfId="4" applyNumberFormat="1" applyFont="1" applyFill="1" applyBorder="1"/>
    <xf numFmtId="0" fontId="12" fillId="2" borderId="48" xfId="3" applyFont="1" applyFill="1" applyBorder="1"/>
    <xf numFmtId="0" fontId="12" fillId="2" borderId="8" xfId="3" applyFont="1" applyFill="1" applyBorder="1"/>
    <xf numFmtId="0" fontId="12" fillId="2" borderId="39" xfId="3" applyFont="1" applyFill="1" applyBorder="1"/>
    <xf numFmtId="165" fontId="12" fillId="2" borderId="14" xfId="4" applyNumberFormat="1" applyFont="1" applyFill="1" applyBorder="1"/>
    <xf numFmtId="165" fontId="12" fillId="2" borderId="18" xfId="4" applyNumberFormat="1" applyFont="1" applyFill="1" applyBorder="1"/>
    <xf numFmtId="0" fontId="2" fillId="0" borderId="0" xfId="0" applyFont="1" applyFill="1" applyBorder="1"/>
    <xf numFmtId="0" fontId="27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2" fillId="0" borderId="1" xfId="0" applyFont="1" applyFill="1" applyBorder="1"/>
    <xf numFmtId="0" fontId="28" fillId="0" borderId="5" xfId="0" applyFont="1" applyFill="1" applyBorder="1" applyAlignment="1">
      <alignment horizontal="right" vertical="center"/>
    </xf>
    <xf numFmtId="0" fontId="28" fillId="0" borderId="6" xfId="0" applyFont="1" applyFill="1" applyBorder="1" applyAlignment="1">
      <alignment horizontal="right" vertical="center"/>
    </xf>
    <xf numFmtId="0" fontId="28" fillId="0" borderId="7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164" fontId="12" fillId="0" borderId="9" xfId="2" applyNumberFormat="1" applyFont="1" applyFill="1" applyBorder="1" applyAlignment="1">
      <alignment horizontal="right" vertical="center"/>
    </xf>
    <xf numFmtId="165" fontId="12" fillId="0" borderId="9" xfId="0" applyNumberFormat="1" applyFont="1" applyFill="1" applyBorder="1" applyAlignment="1">
      <alignment horizontal="right" vertical="center"/>
    </xf>
    <xf numFmtId="165" fontId="12" fillId="0" borderId="38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164" fontId="12" fillId="0" borderId="11" xfId="2" applyNumberFormat="1" applyFont="1" applyFill="1" applyBorder="1" applyAlignment="1">
      <alignment horizontal="right" vertical="center"/>
    </xf>
    <xf numFmtId="165" fontId="12" fillId="0" borderId="11" xfId="0" applyNumberFormat="1" applyFont="1" applyFill="1" applyBorder="1" applyAlignment="1">
      <alignment horizontal="right" vertical="center"/>
    </xf>
    <xf numFmtId="9" fontId="12" fillId="0" borderId="11" xfId="2" applyFont="1" applyFill="1" applyBorder="1" applyAlignment="1">
      <alignment horizontal="right" vertical="center"/>
    </xf>
    <xf numFmtId="165" fontId="26" fillId="0" borderId="12" xfId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65" fontId="26" fillId="0" borderId="0" xfId="1" applyNumberFormat="1" applyFont="1" applyFill="1" applyBorder="1" applyAlignment="1">
      <alignment horizontal="right" vertical="center"/>
    </xf>
    <xf numFmtId="165" fontId="12" fillId="0" borderId="0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horizontal="right" vertical="center"/>
    </xf>
    <xf numFmtId="0" fontId="28" fillId="0" borderId="18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164" fontId="12" fillId="0" borderId="6" xfId="2" applyNumberFormat="1" applyFont="1" applyFill="1" applyBorder="1" applyAlignment="1">
      <alignment horizontal="right" vertical="center"/>
    </xf>
    <xf numFmtId="165" fontId="12" fillId="0" borderId="6" xfId="0" applyNumberFormat="1" applyFont="1" applyFill="1" applyBorder="1" applyAlignment="1">
      <alignment horizontal="right" vertical="center"/>
    </xf>
    <xf numFmtId="165" fontId="12" fillId="0" borderId="7" xfId="0" applyNumberFormat="1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/>
    </xf>
    <xf numFmtId="165" fontId="12" fillId="0" borderId="10" xfId="1" applyNumberFormat="1" applyFont="1" applyFill="1" applyBorder="1" applyAlignment="1">
      <alignment horizontal="right" vertical="center"/>
    </xf>
    <xf numFmtId="9" fontId="12" fillId="0" borderId="10" xfId="2" applyFont="1" applyFill="1" applyBorder="1" applyAlignment="1">
      <alignment horizontal="right" vertical="center"/>
    </xf>
    <xf numFmtId="165" fontId="12" fillId="0" borderId="16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right" vertical="center"/>
    </xf>
    <xf numFmtId="165" fontId="12" fillId="0" borderId="17" xfId="1" applyNumberFormat="1" applyFont="1" applyFill="1" applyBorder="1" applyAlignment="1">
      <alignment horizontal="right" vertical="center"/>
    </xf>
    <xf numFmtId="3" fontId="12" fillId="0" borderId="14" xfId="1" applyNumberFormat="1" applyFont="1" applyFill="1" applyBorder="1" applyAlignment="1">
      <alignment horizontal="right" vertical="center"/>
    </xf>
    <xf numFmtId="170" fontId="12" fillId="0" borderId="14" xfId="1" applyNumberFormat="1" applyFont="1" applyFill="1" applyBorder="1" applyAlignment="1">
      <alignment horizontal="right" vertical="center"/>
    </xf>
    <xf numFmtId="165" fontId="12" fillId="0" borderId="14" xfId="1" applyNumberFormat="1" applyFont="1" applyFill="1" applyBorder="1" applyAlignment="1">
      <alignment horizontal="right" vertical="center"/>
    </xf>
    <xf numFmtId="165" fontId="12" fillId="0" borderId="18" xfId="1" applyNumberFormat="1" applyFont="1" applyFill="1" applyBorder="1" applyAlignment="1">
      <alignment horizontal="right" vertical="center"/>
    </xf>
    <xf numFmtId="165" fontId="12" fillId="0" borderId="19" xfId="0" applyNumberFormat="1" applyFont="1" applyFill="1" applyBorder="1" applyAlignment="1">
      <alignment horizontal="right" vertical="center"/>
    </xf>
    <xf numFmtId="164" fontId="12" fillId="0" borderId="20" xfId="2" applyNumberFormat="1" applyFont="1" applyFill="1" applyBorder="1" applyAlignment="1">
      <alignment horizontal="right" vertical="center"/>
    </xf>
    <xf numFmtId="165" fontId="12" fillId="0" borderId="20" xfId="0" applyNumberFormat="1" applyFont="1" applyFill="1" applyBorder="1" applyAlignment="1">
      <alignment horizontal="right" vertical="center"/>
    </xf>
    <xf numFmtId="165" fontId="12" fillId="0" borderId="21" xfId="0" applyNumberFormat="1" applyFont="1" applyFill="1" applyBorder="1" applyAlignment="1">
      <alignment horizontal="right" vertical="center"/>
    </xf>
    <xf numFmtId="165" fontId="12" fillId="0" borderId="22" xfId="1" applyNumberFormat="1" applyFont="1" applyFill="1" applyBorder="1" applyAlignment="1">
      <alignment horizontal="right" vertical="center"/>
    </xf>
    <xf numFmtId="165" fontId="12" fillId="0" borderId="23" xfId="1" applyNumberFormat="1" applyFont="1" applyFill="1" applyBorder="1" applyAlignment="1">
      <alignment horizontal="right" vertical="center"/>
    </xf>
    <xf numFmtId="165" fontId="12" fillId="0" borderId="24" xfId="1" applyNumberFormat="1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right" vertical="center"/>
    </xf>
    <xf numFmtId="0" fontId="12" fillId="0" borderId="26" xfId="0" applyFont="1" applyFill="1" applyBorder="1" applyAlignment="1">
      <alignment horizontal="right" vertical="center"/>
    </xf>
    <xf numFmtId="165" fontId="26" fillId="0" borderId="26" xfId="1" applyNumberFormat="1" applyFont="1" applyFill="1" applyBorder="1" applyAlignment="1">
      <alignment horizontal="right" vertical="center"/>
    </xf>
    <xf numFmtId="165" fontId="26" fillId="0" borderId="27" xfId="1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centerContinuous"/>
    </xf>
    <xf numFmtId="0" fontId="12" fillId="0" borderId="0" xfId="3" applyFont="1" applyFill="1" applyBorder="1" applyAlignment="1">
      <alignment horizontal="centerContinuous"/>
    </xf>
    <xf numFmtId="0" fontId="12" fillId="0" borderId="11" xfId="3" applyFont="1" applyFill="1" applyBorder="1" applyAlignment="1">
      <alignment horizontal="center" wrapText="1"/>
    </xf>
    <xf numFmtId="0" fontId="14" fillId="0" borderId="11" xfId="3" applyFont="1" applyFill="1" applyBorder="1"/>
    <xf numFmtId="0" fontId="12" fillId="0" borderId="12" xfId="3" quotePrefix="1" applyFont="1" applyFill="1" applyBorder="1" applyAlignment="1">
      <alignment horizontal="center"/>
    </xf>
    <xf numFmtId="166" fontId="12" fillId="0" borderId="5" xfId="3" applyNumberFormat="1" applyFont="1" applyFill="1" applyBorder="1"/>
    <xf numFmtId="3" fontId="12" fillId="0" borderId="6" xfId="3" applyNumberFormat="1" applyFont="1" applyFill="1" applyBorder="1"/>
    <xf numFmtId="3" fontId="15" fillId="0" borderId="6" xfId="3" applyNumberFormat="1" applyFont="1" applyFill="1" applyBorder="1"/>
    <xf numFmtId="3" fontId="15" fillId="0" borderId="7" xfId="3" applyNumberFormat="1" applyFont="1" applyFill="1" applyBorder="1"/>
    <xf numFmtId="166" fontId="12" fillId="0" borderId="39" xfId="3" applyNumberFormat="1" applyFont="1" applyFill="1" applyBorder="1"/>
    <xf numFmtId="3" fontId="12" fillId="0" borderId="36" xfId="3" applyNumberFormat="1" applyFont="1" applyFill="1" applyBorder="1"/>
    <xf numFmtId="3" fontId="15" fillId="0" borderId="36" xfId="3" applyNumberFormat="1" applyFont="1" applyFill="1" applyBorder="1"/>
    <xf numFmtId="3" fontId="15" fillId="0" borderId="37" xfId="3" applyNumberFormat="1" applyFont="1" applyFill="1" applyBorder="1"/>
    <xf numFmtId="167" fontId="12" fillId="0" borderId="13" xfId="3" applyNumberFormat="1" applyFont="1" applyFill="1" applyBorder="1"/>
    <xf numFmtId="3" fontId="12" fillId="0" borderId="14" xfId="3" applyNumberFormat="1" applyFont="1" applyFill="1" applyBorder="1"/>
    <xf numFmtId="3" fontId="16" fillId="0" borderId="14" xfId="3" applyNumberFormat="1" applyFont="1" applyFill="1" applyBorder="1"/>
    <xf numFmtId="3" fontId="16" fillId="0" borderId="18" xfId="3" applyNumberFormat="1" applyFont="1" applyFill="1" applyBorder="1"/>
    <xf numFmtId="43" fontId="14" fillId="0" borderId="48" xfId="1" applyFont="1" applyFill="1" applyBorder="1"/>
    <xf numFmtId="165" fontId="14" fillId="0" borderId="41" xfId="1" applyNumberFormat="1" applyFont="1" applyFill="1" applyBorder="1"/>
    <xf numFmtId="3" fontId="15" fillId="0" borderId="41" xfId="3" applyNumberFormat="1" applyFont="1" applyFill="1" applyBorder="1"/>
    <xf numFmtId="3" fontId="15" fillId="0" borderId="33" xfId="3" applyNumberFormat="1" applyFont="1" applyFill="1" applyBorder="1"/>
    <xf numFmtId="43" fontId="14" fillId="0" borderId="8" xfId="1" applyFont="1" applyFill="1" applyBorder="1"/>
    <xf numFmtId="165" fontId="14" fillId="0" borderId="9" xfId="1" applyNumberFormat="1" applyFont="1" applyFill="1" applyBorder="1"/>
    <xf numFmtId="3" fontId="15" fillId="0" borderId="9" xfId="3" applyNumberFormat="1" applyFont="1" applyFill="1" applyBorder="1"/>
    <xf numFmtId="3" fontId="15" fillId="0" borderId="38" xfId="3" applyNumberFormat="1" applyFont="1" applyFill="1" applyBorder="1"/>
    <xf numFmtId="171" fontId="14" fillId="0" borderId="39" xfId="1" applyNumberFormat="1" applyFont="1" applyFill="1" applyBorder="1"/>
    <xf numFmtId="165" fontId="14" fillId="0" borderId="36" xfId="1" applyNumberFormat="1" applyFont="1" applyFill="1" applyBorder="1"/>
    <xf numFmtId="167" fontId="14" fillId="0" borderId="13" xfId="1" applyNumberFormat="1" applyFont="1" applyFill="1" applyBorder="1"/>
    <xf numFmtId="165" fontId="14" fillId="0" borderId="14" xfId="1" applyNumberFormat="1" applyFont="1" applyFill="1" applyBorder="1"/>
    <xf numFmtId="2" fontId="14" fillId="0" borderId="48" xfId="1" applyNumberFormat="1" applyFont="1" applyFill="1" applyBorder="1"/>
    <xf numFmtId="2" fontId="14" fillId="0" borderId="8" xfId="1" applyNumberFormat="1" applyFont="1" applyFill="1" applyBorder="1"/>
    <xf numFmtId="2" fontId="14" fillId="0" borderId="10" xfId="1" applyNumberFormat="1" applyFont="1" applyFill="1" applyBorder="1"/>
    <xf numFmtId="165" fontId="14" fillId="0" borderId="11" xfId="1" applyNumberFormat="1" applyFont="1" applyFill="1" applyBorder="1"/>
    <xf numFmtId="3" fontId="15" fillId="0" borderId="11" xfId="3" applyNumberFormat="1" applyFont="1" applyFill="1" applyBorder="1"/>
    <xf numFmtId="3" fontId="15" fillId="0" borderId="12" xfId="3" applyNumberFormat="1" applyFont="1" applyFill="1" applyBorder="1"/>
    <xf numFmtId="167" fontId="14" fillId="0" borderId="49" xfId="1" applyNumberFormat="1" applyFont="1" applyFill="1" applyBorder="1"/>
    <xf numFmtId="165" fontId="14" fillId="0" borderId="50" xfId="1" applyNumberFormat="1" applyFont="1" applyFill="1" applyBorder="1"/>
    <xf numFmtId="3" fontId="16" fillId="0" borderId="50" xfId="3" applyNumberFormat="1" applyFont="1" applyFill="1" applyBorder="1"/>
    <xf numFmtId="3" fontId="16" fillId="0" borderId="16" xfId="3" applyNumberFormat="1" applyFont="1" applyFill="1" applyBorder="1"/>
    <xf numFmtId="166" fontId="14" fillId="0" borderId="48" xfId="1" applyNumberFormat="1" applyFont="1" applyFill="1" applyBorder="1"/>
    <xf numFmtId="169" fontId="14" fillId="0" borderId="8" xfId="1" applyNumberFormat="1" applyFont="1" applyFill="1" applyBorder="1"/>
    <xf numFmtId="166" fontId="14" fillId="0" borderId="8" xfId="1" applyNumberFormat="1" applyFont="1" applyFill="1" applyBorder="1"/>
    <xf numFmtId="169" fontId="14" fillId="0" borderId="10" xfId="1" applyNumberFormat="1" applyFont="1" applyFill="1" applyBorder="1"/>
    <xf numFmtId="2" fontId="14" fillId="0" borderId="49" xfId="1" applyNumberFormat="1" applyFont="1" applyFill="1" applyBorder="1"/>
    <xf numFmtId="168" fontId="14" fillId="0" borderId="0" xfId="1" applyNumberFormat="1" applyFont="1" applyFill="1" applyBorder="1"/>
    <xf numFmtId="165" fontId="14" fillId="0" borderId="0" xfId="1" applyNumberFormat="1" applyFont="1" applyFill="1" applyBorder="1"/>
    <xf numFmtId="168" fontId="17" fillId="0" borderId="0" xfId="1" applyNumberFormat="1" applyFont="1" applyFill="1" applyBorder="1"/>
    <xf numFmtId="0" fontId="18" fillId="0" borderId="0" xfId="3" applyFont="1" applyFill="1" applyBorder="1"/>
    <xf numFmtId="0" fontId="14" fillId="0" borderId="36" xfId="3" applyFont="1" applyFill="1" applyBorder="1"/>
    <xf numFmtId="166" fontId="14" fillId="0" borderId="10" xfId="1" applyNumberFormat="1" applyFont="1" applyFill="1" applyBorder="1"/>
    <xf numFmtId="2" fontId="14" fillId="0" borderId="13" xfId="1" applyNumberFormat="1" applyFont="1" applyFill="1" applyBorder="1"/>
    <xf numFmtId="3" fontId="15" fillId="0" borderId="14" xfId="3" applyNumberFormat="1" applyFont="1" applyFill="1" applyBorder="1"/>
    <xf numFmtId="3" fontId="15" fillId="0" borderId="18" xfId="3" applyNumberFormat="1" applyFont="1" applyFill="1" applyBorder="1"/>
    <xf numFmtId="169" fontId="14" fillId="0" borderId="48" xfId="1" applyNumberFormat="1" applyFont="1" applyFill="1" applyBorder="1"/>
    <xf numFmtId="167" fontId="14" fillId="0" borderId="25" xfId="1" applyNumberFormat="1" applyFont="1" applyFill="1" applyBorder="1"/>
    <xf numFmtId="165" fontId="14" fillId="0" borderId="26" xfId="1" applyNumberFormat="1" applyFont="1" applyFill="1" applyBorder="1"/>
    <xf numFmtId="165" fontId="14" fillId="0" borderId="27" xfId="1" applyNumberFormat="1" applyFont="1" applyFill="1" applyBorder="1"/>
    <xf numFmtId="165" fontId="14" fillId="0" borderId="17" xfId="1" applyNumberFormat="1" applyFont="1" applyFill="1" applyBorder="1"/>
    <xf numFmtId="165" fontId="14" fillId="0" borderId="18" xfId="1" applyNumberFormat="1" applyFont="1" applyFill="1" applyBorder="1"/>
    <xf numFmtId="0" fontId="13" fillId="2" borderId="28" xfId="3" applyFont="1" applyFill="1" applyBorder="1" applyAlignment="1">
      <alignment horizontal="center"/>
    </xf>
    <xf numFmtId="0" fontId="13" fillId="2" borderId="51" xfId="3" applyFont="1" applyFill="1" applyBorder="1" applyAlignment="1">
      <alignment horizontal="center"/>
    </xf>
    <xf numFmtId="0" fontId="14" fillId="2" borderId="49" xfId="3" applyFont="1" applyFill="1" applyBorder="1" applyAlignment="1">
      <alignment horizontal="center"/>
    </xf>
    <xf numFmtId="0" fontId="14" fillId="2" borderId="26" xfId="3" applyFont="1" applyFill="1" applyBorder="1" applyAlignment="1">
      <alignment horizontal="center"/>
    </xf>
    <xf numFmtId="0" fontId="14" fillId="2" borderId="54" xfId="3" applyFont="1" applyFill="1" applyBorder="1" applyAlignment="1">
      <alignment horizontal="center"/>
    </xf>
    <xf numFmtId="0" fontId="14" fillId="2" borderId="55" xfId="3" applyFont="1" applyFill="1" applyBorder="1"/>
    <xf numFmtId="0" fontId="14" fillId="2" borderId="28" xfId="3" applyFont="1" applyFill="1" applyBorder="1"/>
    <xf numFmtId="0" fontId="14" fillId="2" borderId="20" xfId="3" applyFont="1" applyFill="1" applyBorder="1"/>
    <xf numFmtId="0" fontId="14" fillId="2" borderId="34" xfId="3" applyFont="1" applyFill="1" applyBorder="1"/>
    <xf numFmtId="0" fontId="14" fillId="2" borderId="3" xfId="3" applyFont="1" applyFill="1" applyBorder="1"/>
    <xf numFmtId="0" fontId="12" fillId="2" borderId="10" xfId="3" applyFont="1" applyFill="1" applyBorder="1"/>
    <xf numFmtId="0" fontId="12" fillId="2" borderId="11" xfId="3" applyFont="1" applyFill="1" applyBorder="1"/>
    <xf numFmtId="165" fontId="14" fillId="2" borderId="11" xfId="4" applyNumberFormat="1" applyFont="1" applyFill="1" applyBorder="1"/>
    <xf numFmtId="165" fontId="14" fillId="2" borderId="12" xfId="4" applyNumberFormat="1" applyFont="1" applyFill="1" applyBorder="1"/>
    <xf numFmtId="0" fontId="14" fillId="0" borderId="33" xfId="3" applyFont="1" applyFill="1" applyBorder="1" applyAlignment="1">
      <alignment horizontal="center"/>
    </xf>
    <xf numFmtId="0" fontId="12" fillId="2" borderId="5" xfId="3" quotePrefix="1" applyFont="1" applyFill="1" applyBorder="1" applyAlignment="1">
      <alignment horizontal="right"/>
    </xf>
    <xf numFmtId="165" fontId="12" fillId="2" borderId="9" xfId="4" applyNumberFormat="1" applyFont="1" applyFill="1" applyBorder="1" applyAlignment="1">
      <alignment horizontal="center"/>
    </xf>
    <xf numFmtId="165" fontId="12" fillId="2" borderId="53" xfId="4" applyNumberFormat="1" applyFont="1" applyFill="1" applyBorder="1" applyAlignment="1">
      <alignment horizontal="center"/>
    </xf>
    <xf numFmtId="0" fontId="14" fillId="0" borderId="38" xfId="3" applyFont="1" applyFill="1" applyBorder="1"/>
    <xf numFmtId="0" fontId="12" fillId="2" borderId="34" xfId="3" applyFont="1" applyFill="1" applyBorder="1"/>
    <xf numFmtId="165" fontId="12" fillId="2" borderId="35" xfId="4" applyNumberFormat="1" applyFont="1" applyFill="1" applyBorder="1"/>
    <xf numFmtId="165" fontId="12" fillId="2" borderId="56" xfId="4" applyNumberFormat="1" applyFont="1" applyFill="1" applyBorder="1"/>
    <xf numFmtId="165" fontId="12" fillId="2" borderId="57" xfId="4" applyNumberFormat="1" applyFont="1" applyFill="1" applyBorder="1"/>
    <xf numFmtId="165" fontId="12" fillId="2" borderId="11" xfId="4" applyNumberFormat="1" applyFont="1" applyFill="1" applyBorder="1"/>
    <xf numFmtId="165" fontId="12" fillId="2" borderId="12" xfId="4" applyNumberFormat="1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 readingOrder="2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8" fontId="14" fillId="0" borderId="3" xfId="1" applyNumberFormat="1" applyFont="1" applyFill="1" applyBorder="1" applyAlignment="1">
      <alignment horizontal="center"/>
    </xf>
    <xf numFmtId="168" fontId="14" fillId="0" borderId="2" xfId="1" applyNumberFormat="1" applyFont="1" applyFill="1" applyBorder="1" applyAlignment="1">
      <alignment horizontal="center" wrapText="1"/>
    </xf>
    <xf numFmtId="168" fontId="14" fillId="0" borderId="4" xfId="1" applyNumberFormat="1" applyFont="1" applyFill="1" applyBorder="1" applyAlignment="1">
      <alignment horizontal="center" wrapText="1"/>
    </xf>
    <xf numFmtId="0" fontId="9" fillId="0" borderId="0" xfId="3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9" fillId="0" borderId="0" xfId="3" applyFont="1" applyFill="1" applyBorder="1" applyAlignment="1">
      <alignment horizontal="center" wrapText="1" readingOrder="2"/>
    </xf>
    <xf numFmtId="0" fontId="10" fillId="0" borderId="0" xfId="0" applyFont="1" applyFill="1" applyBorder="1" applyAlignment="1">
      <alignment horizontal="center" wrapText="1" readingOrder="2"/>
    </xf>
    <xf numFmtId="0" fontId="12" fillId="0" borderId="28" xfId="3" applyFont="1" applyFill="1" applyBorder="1" applyAlignment="1">
      <alignment horizontal="center" wrapText="1"/>
    </xf>
    <xf numFmtId="0" fontId="12" fillId="0" borderId="34" xfId="3" applyFont="1" applyFill="1" applyBorder="1" applyAlignment="1">
      <alignment horizontal="center" wrapText="1"/>
    </xf>
    <xf numFmtId="0" fontId="12" fillId="0" borderId="29" xfId="3" applyFont="1" applyFill="1" applyBorder="1" applyAlignment="1">
      <alignment horizontal="center" wrapText="1"/>
    </xf>
    <xf numFmtId="0" fontId="12" fillId="0" borderId="35" xfId="3" applyFont="1" applyFill="1" applyBorder="1" applyAlignment="1">
      <alignment horizontal="center" wrapText="1"/>
    </xf>
    <xf numFmtId="0" fontId="12" fillId="0" borderId="30" xfId="3" applyFont="1" applyFill="1" applyBorder="1" applyAlignment="1">
      <alignment horizontal="center"/>
    </xf>
    <xf numFmtId="0" fontId="12" fillId="0" borderId="32" xfId="3" applyFont="1" applyFill="1" applyBorder="1" applyAlignment="1">
      <alignment horizontal="center"/>
    </xf>
    <xf numFmtId="168" fontId="14" fillId="0" borderId="28" xfId="1" applyNumberFormat="1" applyFont="1" applyFill="1" applyBorder="1" applyAlignment="1">
      <alignment horizontal="center" wrapText="1"/>
    </xf>
    <xf numFmtId="168" fontId="14" fillId="0" borderId="34" xfId="1" applyNumberFormat="1" applyFont="1" applyFill="1" applyBorder="1" applyAlignment="1">
      <alignment horizontal="center" wrapText="1"/>
    </xf>
    <xf numFmtId="165" fontId="14" fillId="0" borderId="29" xfId="1" applyNumberFormat="1" applyFont="1" applyFill="1" applyBorder="1" applyAlignment="1">
      <alignment horizontal="center" wrapText="1"/>
    </xf>
    <xf numFmtId="165" fontId="14" fillId="0" borderId="35" xfId="1" applyNumberFormat="1" applyFont="1" applyFill="1" applyBorder="1" applyAlignment="1">
      <alignment horizontal="center" wrapText="1"/>
    </xf>
    <xf numFmtId="0" fontId="14" fillId="2" borderId="28" xfId="3" applyFont="1" applyFill="1" applyBorder="1" applyAlignment="1">
      <alignment horizontal="center" vertical="center"/>
    </xf>
    <xf numFmtId="0" fontId="14" fillId="2" borderId="49" xfId="3" applyFont="1" applyFill="1" applyBorder="1" applyAlignment="1">
      <alignment horizontal="center" vertical="center"/>
    </xf>
    <xf numFmtId="0" fontId="14" fillId="2" borderId="29" xfId="3" applyFont="1" applyFill="1" applyBorder="1" applyAlignment="1">
      <alignment horizontal="center" vertical="center"/>
    </xf>
    <xf numFmtId="0" fontId="14" fillId="2" borderId="50" xfId="3" applyFont="1" applyFill="1" applyBorder="1" applyAlignment="1">
      <alignment horizontal="center" vertical="center"/>
    </xf>
    <xf numFmtId="0" fontId="14" fillId="2" borderId="41" xfId="3" applyFont="1" applyFill="1" applyBorder="1" applyAlignment="1">
      <alignment horizontal="center" vertical="center" wrapText="1"/>
    </xf>
    <xf numFmtId="0" fontId="14" fillId="2" borderId="41" xfId="3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 wrapText="1"/>
    </xf>
    <xf numFmtId="0" fontId="14" fillId="2" borderId="33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wrapText="1" readingOrder="2"/>
    </xf>
    <xf numFmtId="0" fontId="21" fillId="0" borderId="0" xfId="0" applyFont="1" applyFill="1" applyBorder="1" applyAlignment="1">
      <alignment wrapText="1" readingOrder="2"/>
    </xf>
    <xf numFmtId="0" fontId="22" fillId="2" borderId="0" xfId="3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 readingOrder="2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168" fontId="14" fillId="0" borderId="0" xfId="1" applyNumberFormat="1" applyFont="1" applyFill="1" applyBorder="1" applyAlignment="1">
      <alignment horizontal="center"/>
    </xf>
    <xf numFmtId="168" fontId="14" fillId="0" borderId="2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8" fontId="14" fillId="0" borderId="48" xfId="1" applyNumberFormat="1" applyFont="1" applyFill="1" applyBorder="1" applyAlignment="1">
      <alignment horizontal="right" vertical="center" wrapText="1"/>
    </xf>
    <xf numFmtId="0" fontId="2" fillId="0" borderId="39" xfId="0" applyFont="1" applyFill="1" applyBorder="1" applyAlignment="1">
      <alignment horizontal="right" vertical="center" wrapText="1"/>
    </xf>
    <xf numFmtId="165" fontId="14" fillId="0" borderId="41" xfId="1" applyNumberFormat="1" applyFont="1" applyFill="1" applyBorder="1" applyAlignment="1">
      <alignment horizontal="right" vertical="center" wrapText="1"/>
    </xf>
    <xf numFmtId="0" fontId="2" fillId="0" borderId="36" xfId="0" applyFont="1" applyFill="1" applyBorder="1" applyAlignment="1">
      <alignment horizontal="right" vertical="center" wrapText="1"/>
    </xf>
    <xf numFmtId="0" fontId="12" fillId="0" borderId="41" xfId="3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12" fillId="0" borderId="48" xfId="3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 wrapText="1"/>
    </xf>
    <xf numFmtId="0" fontId="12" fillId="2" borderId="30" xfId="4" applyNumberFormat="1" applyFont="1" applyFill="1" applyBorder="1" applyAlignment="1">
      <alignment horizontal="center"/>
    </xf>
    <xf numFmtId="0" fontId="12" fillId="2" borderId="31" xfId="4" applyNumberFormat="1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17" fillId="0" borderId="0" xfId="3" applyFont="1" applyFill="1" applyBorder="1" applyAlignment="1">
      <alignment horizontal="center"/>
    </xf>
    <xf numFmtId="0" fontId="22" fillId="2" borderId="0" xfId="3" applyFont="1" applyFill="1" applyBorder="1" applyAlignment="1">
      <alignment horizontal="right"/>
    </xf>
    <xf numFmtId="0" fontId="14" fillId="2" borderId="30" xfId="3" applyFont="1" applyFill="1" applyBorder="1" applyAlignment="1">
      <alignment horizontal="center" vertical="center" wrapText="1"/>
    </xf>
    <xf numFmtId="0" fontId="14" fillId="2" borderId="32" xfId="3" applyFont="1" applyFill="1" applyBorder="1" applyAlignment="1">
      <alignment horizontal="center" vertical="center" wrapText="1"/>
    </xf>
    <xf numFmtId="0" fontId="14" fillId="2" borderId="31" xfId="3" applyFont="1" applyFill="1" applyBorder="1" applyAlignment="1">
      <alignment horizontal="center" vertical="center" wrapText="1"/>
    </xf>
    <xf numFmtId="0" fontId="14" fillId="2" borderId="52" xfId="3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wrapText="1"/>
    </xf>
    <xf numFmtId="0" fontId="14" fillId="2" borderId="31" xfId="3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14" fillId="2" borderId="52" xfId="3" applyFont="1" applyFill="1" applyBorder="1" applyAlignment="1">
      <alignment horizontal="center" vertical="center"/>
    </xf>
  </cellXfs>
  <cellStyles count="5">
    <cellStyle name="Comma" xfId="1" builtinId="3"/>
    <cellStyle name="Comma 2" xf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514;&#1511;&#1510;&#1497;&#1489;%202017\&#1514;&#1511;&#1510;&#1497;&#1489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ישראל מעוגל "/>
      <sheetName val="לישראל"/>
      <sheetName val="pivot לפי מחלקה "/>
      <sheetName val="מרכז"/>
      <sheetName val="9-11"/>
      <sheetName val="גרפים 3"/>
      <sheetName val="גרפים 2"/>
      <sheetName val="גרפים 1"/>
      <sheetName val="6-7"/>
      <sheetName val="מעגל הנדסה "/>
      <sheetName val="ניתוח שכר"/>
      <sheetName val="ניתוח רווחה "/>
      <sheetName val="ניתוח חינוך"/>
      <sheetName val="pivot סופי"/>
      <sheetName val="pivot מיוחד "/>
      <sheetName val="מסגרת תקציב- סופי"/>
      <sheetName val="13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תוויות שורה</v>
          </cell>
          <cell r="B3" t="str">
            <v>סכום של תקציב 2016</v>
          </cell>
          <cell r="C3" t="str">
            <v>סכום של ביצוע 01-06/2016</v>
          </cell>
          <cell r="D3" t="str">
            <v>סכום של אומדן ביצוע 2016</v>
          </cell>
          <cell r="E3" t="str">
            <v>סכום של דרישות 2017</v>
          </cell>
          <cell r="F3" t="str">
            <v>סכום של תקציב מאושר 2017</v>
          </cell>
        </row>
        <row r="4">
          <cell r="A4" t="str">
            <v>הוצאות</v>
          </cell>
          <cell r="B4">
            <v>254899300</v>
          </cell>
          <cell r="C4" t="e">
            <v>#N/A</v>
          </cell>
          <cell r="D4">
            <v>256206524.02369699</v>
          </cell>
          <cell r="E4">
            <v>276593680.41583103</v>
          </cell>
          <cell r="F4">
            <v>272076000</v>
          </cell>
        </row>
        <row r="5">
          <cell r="A5" t="str">
            <v>הוצאות מימון</v>
          </cell>
          <cell r="B5">
            <v>1462400</v>
          </cell>
          <cell r="C5">
            <v>826642.47</v>
          </cell>
          <cell r="D5">
            <v>1435966.79</v>
          </cell>
          <cell r="E5">
            <v>1568697</v>
          </cell>
          <cell r="F5">
            <v>1569000</v>
          </cell>
        </row>
        <row r="6">
          <cell r="A6" t="str">
            <v>הנחות ארנונה  (הוצאות)</v>
          </cell>
          <cell r="B6">
            <v>29253000</v>
          </cell>
          <cell r="C6">
            <v>14800119</v>
          </cell>
          <cell r="D6">
            <v>28373000</v>
          </cell>
          <cell r="E6">
            <v>28796235</v>
          </cell>
          <cell r="F6">
            <v>28796000</v>
          </cell>
        </row>
        <row r="7">
          <cell r="A7" t="str">
            <v>עלויות פרישה ופיצויים</v>
          </cell>
          <cell r="B7">
            <v>500000</v>
          </cell>
          <cell r="C7">
            <v>643993</v>
          </cell>
          <cell r="D7">
            <v>746778.2</v>
          </cell>
          <cell r="E7">
            <v>635311.51033333328</v>
          </cell>
          <cell r="F7">
            <v>500000</v>
          </cell>
        </row>
        <row r="8">
          <cell r="A8" t="str">
            <v>פעולות חינוך</v>
          </cell>
          <cell r="B8">
            <v>32309900</v>
          </cell>
          <cell r="C8">
            <v>17869257.519999996</v>
          </cell>
          <cell r="D8">
            <v>32788944.503333338</v>
          </cell>
          <cell r="E8">
            <v>35123958.087128326</v>
          </cell>
          <cell r="F8">
            <v>34534000</v>
          </cell>
        </row>
        <row r="9">
          <cell r="A9" t="str">
            <v>פעולות כלליות</v>
          </cell>
          <cell r="B9">
            <v>45548500</v>
          </cell>
          <cell r="C9">
            <v>21654255.169999994</v>
          </cell>
          <cell r="D9">
            <v>42849280.128363661</v>
          </cell>
          <cell r="E9">
            <v>52276742.461846761</v>
          </cell>
          <cell r="F9">
            <v>50843000</v>
          </cell>
        </row>
        <row r="10">
          <cell r="A10" t="str">
            <v>פעולות רווחה</v>
          </cell>
          <cell r="B10">
            <v>14826000</v>
          </cell>
          <cell r="C10">
            <v>8495837.0099999979</v>
          </cell>
          <cell r="D10">
            <v>16943426.811999999</v>
          </cell>
          <cell r="E10">
            <v>17459000</v>
          </cell>
          <cell r="F10">
            <v>16474000</v>
          </cell>
        </row>
        <row r="11">
          <cell r="A11" t="str">
            <v>פרעון מלוות</v>
          </cell>
          <cell r="B11">
            <v>7040000</v>
          </cell>
          <cell r="C11">
            <v>3472552.5900000003</v>
          </cell>
          <cell r="D11">
            <v>6949519</v>
          </cell>
          <cell r="E11">
            <v>9166102.7700000014</v>
          </cell>
          <cell r="F11">
            <v>7795000</v>
          </cell>
        </row>
        <row r="12">
          <cell r="A12" t="str">
            <v>שכר חינוך</v>
          </cell>
          <cell r="B12">
            <v>66284200</v>
          </cell>
          <cell r="C12">
            <v>34277905.809999995</v>
          </cell>
          <cell r="D12">
            <v>68322268.059999987</v>
          </cell>
          <cell r="E12">
            <v>71178221.016724795</v>
          </cell>
          <cell r="F12">
            <v>71178000</v>
          </cell>
        </row>
        <row r="13">
          <cell r="A13" t="str">
            <v>שכר כללי</v>
          </cell>
          <cell r="B13">
            <v>51781800</v>
          </cell>
          <cell r="C13" t="e">
            <v>#N/A</v>
          </cell>
          <cell r="D13">
            <v>51616275.089999996</v>
          </cell>
          <cell r="E13">
            <v>53950723.354274884</v>
          </cell>
          <cell r="F13">
            <v>53948000</v>
          </cell>
        </row>
        <row r="14">
          <cell r="A14" t="str">
            <v>שכר רווחה</v>
          </cell>
          <cell r="B14">
            <v>5893500</v>
          </cell>
          <cell r="C14">
            <v>3101209.88</v>
          </cell>
          <cell r="D14">
            <v>6181065.4400000004</v>
          </cell>
          <cell r="E14">
            <v>6438689.2155229179</v>
          </cell>
          <cell r="F14">
            <v>6439000</v>
          </cell>
        </row>
        <row r="15">
          <cell r="A15" t="str">
            <v>הכנסות</v>
          </cell>
          <cell r="B15">
            <v>-254798500</v>
          </cell>
          <cell r="C15">
            <v>-127907414.33999999</v>
          </cell>
          <cell r="D15">
            <v>-254279673.03450003</v>
          </cell>
          <cell r="E15">
            <v>-269575454.49387503</v>
          </cell>
          <cell r="F15">
            <v>-272076000</v>
          </cell>
        </row>
        <row r="16">
          <cell r="A16" t="str">
            <v>ארנונה כללית</v>
          </cell>
          <cell r="B16">
            <v>-100953000</v>
          </cell>
          <cell r="C16">
            <v>-46816136.429999992</v>
          </cell>
          <cell r="D16">
            <v>-98700000</v>
          </cell>
          <cell r="E16">
            <v>-106409139</v>
          </cell>
          <cell r="F16">
            <v>-106409000</v>
          </cell>
        </row>
        <row r="17">
          <cell r="A17" t="str">
            <v>הכנסות ממשלתיות</v>
          </cell>
          <cell r="B17">
            <v>-1571000</v>
          </cell>
          <cell r="C17">
            <v>-1087473.9100000001</v>
          </cell>
          <cell r="D17">
            <v>-1629000</v>
          </cell>
          <cell r="E17">
            <v>-1839650</v>
          </cell>
          <cell r="F17">
            <v>-2139000</v>
          </cell>
        </row>
        <row r="18">
          <cell r="A18" t="str">
            <v>הכנסות משרד החינוך</v>
          </cell>
          <cell r="B18">
            <v>-70371800</v>
          </cell>
          <cell r="C18">
            <v>-41002795.45000001</v>
          </cell>
          <cell r="D18">
            <v>-75203084.420000002</v>
          </cell>
          <cell r="E18">
            <v>-75496525.586363643</v>
          </cell>
          <cell r="F18">
            <v>-76996000</v>
          </cell>
        </row>
        <row r="19">
          <cell r="A19" t="str">
            <v>הכנסות משרד הרווחה</v>
          </cell>
          <cell r="B19">
            <v>-13366500</v>
          </cell>
          <cell r="C19">
            <v>-6216875</v>
          </cell>
          <cell r="D19">
            <v>-13780000</v>
          </cell>
          <cell r="E19">
            <v>-14067000</v>
          </cell>
          <cell r="F19">
            <v>-14067000</v>
          </cell>
        </row>
        <row r="20">
          <cell r="A20" t="str">
            <v>הכנסות עצמיות - חינוך</v>
          </cell>
          <cell r="B20">
            <v>-4568700</v>
          </cell>
          <cell r="C20">
            <v>-2217472.89</v>
          </cell>
          <cell r="D20">
            <v>-4401133.0200000014</v>
          </cell>
          <cell r="E20">
            <v>-4288000</v>
          </cell>
          <cell r="F20">
            <v>-4488000</v>
          </cell>
        </row>
        <row r="21">
          <cell r="A21" t="str">
            <v>הכנסות עצמיות - רווחה</v>
          </cell>
          <cell r="B21">
            <v>-623000</v>
          </cell>
          <cell r="C21">
            <v>-329713.94999999995</v>
          </cell>
          <cell r="D21">
            <v>-629000</v>
          </cell>
          <cell r="E21">
            <v>-560000</v>
          </cell>
          <cell r="F21">
            <v>-560000</v>
          </cell>
        </row>
        <row r="22">
          <cell r="A22" t="str">
            <v>הנחות ארנונה</v>
          </cell>
          <cell r="B22">
            <v>-30023000</v>
          </cell>
          <cell r="C22">
            <v>-15247987</v>
          </cell>
          <cell r="D22">
            <v>-29343000</v>
          </cell>
          <cell r="E22">
            <v>-29614932</v>
          </cell>
          <cell r="F22">
            <v>-29615000</v>
          </cell>
        </row>
        <row r="23">
          <cell r="A23" t="str">
            <v>יתר הכנסות עצמיות</v>
          </cell>
          <cell r="B23">
            <v>-32827500</v>
          </cell>
          <cell r="C23">
            <v>-14814328.999999998</v>
          </cell>
          <cell r="D23">
            <v>-30273455.594500002</v>
          </cell>
          <cell r="E23">
            <v>-36800307.907511361</v>
          </cell>
          <cell r="F23">
            <v>-37301000</v>
          </cell>
        </row>
        <row r="24">
          <cell r="A24" t="str">
            <v>מכירת מים</v>
          </cell>
          <cell r="B24">
            <v>-294000</v>
          </cell>
          <cell r="C24">
            <v>-20776.71</v>
          </cell>
          <cell r="D24">
            <v>-55000</v>
          </cell>
          <cell r="E24">
            <v>-299900</v>
          </cell>
          <cell r="F24">
            <v>-301000</v>
          </cell>
        </row>
        <row r="25">
          <cell r="A25" t="str">
            <v>מענק מיועדים</v>
          </cell>
          <cell r="B25">
            <v>-200000</v>
          </cell>
          <cell r="C25">
            <v>-153854</v>
          </cell>
          <cell r="D25">
            <v>-266000</v>
          </cell>
          <cell r="E25">
            <v>-200000</v>
          </cell>
          <cell r="F25">
            <v>-200000</v>
          </cell>
        </row>
        <row r="26">
          <cell r="A26" t="str">
            <v>סכום כולל</v>
          </cell>
          <cell r="B26">
            <v>100800</v>
          </cell>
          <cell r="C26" t="e">
            <v>#N/A</v>
          </cell>
          <cell r="D26">
            <v>1926850.9891969822</v>
          </cell>
          <cell r="E26">
            <v>7018225.9219560251</v>
          </cell>
          <cell r="F26">
            <v>0</v>
          </cell>
        </row>
      </sheetData>
      <sheetData sheetId="14">
        <row r="5">
          <cell r="C5" t="str">
            <v>הוצאות מימון</v>
          </cell>
          <cell r="D5">
            <v>1462400</v>
          </cell>
          <cell r="F5">
            <v>1435966.79</v>
          </cell>
          <cell r="H5">
            <v>1569000</v>
          </cell>
        </row>
        <row r="6">
          <cell r="C6" t="str">
            <v>הנחות ארנונה</v>
          </cell>
          <cell r="D6">
            <v>29253000</v>
          </cell>
          <cell r="F6">
            <v>28373000</v>
          </cell>
          <cell r="H6">
            <v>28796000</v>
          </cell>
        </row>
        <row r="7">
          <cell r="C7" t="str">
            <v>עלויות פרישה ופיצויים</v>
          </cell>
          <cell r="D7">
            <v>500000</v>
          </cell>
          <cell r="F7">
            <v>746778.2</v>
          </cell>
          <cell r="H7">
            <v>500000</v>
          </cell>
        </row>
        <row r="8">
          <cell r="C8" t="str">
            <v>אגרות ת.חוץ</v>
          </cell>
          <cell r="D8">
            <v>60000</v>
          </cell>
          <cell r="F8">
            <v>16126</v>
          </cell>
          <cell r="H8">
            <v>39000</v>
          </cell>
        </row>
        <row r="9">
          <cell r="C9" t="str">
            <v xml:space="preserve">בי"ס מנגן </v>
          </cell>
          <cell r="D9">
            <v>505000</v>
          </cell>
          <cell r="F9">
            <v>503996</v>
          </cell>
          <cell r="H9">
            <v>505000</v>
          </cell>
        </row>
        <row r="10">
          <cell r="C10" t="str">
            <v>גני ילדים</v>
          </cell>
          <cell r="D10">
            <v>14562600</v>
          </cell>
          <cell r="F10">
            <v>14936626.489999998</v>
          </cell>
          <cell r="H10">
            <v>14831000</v>
          </cell>
        </row>
        <row r="11">
          <cell r="C11" t="str">
            <v>הסעות וליווי</v>
          </cell>
          <cell r="D11">
            <v>3038000</v>
          </cell>
          <cell r="F11">
            <v>3209018.72</v>
          </cell>
          <cell r="H11">
            <v>3251000</v>
          </cell>
        </row>
        <row r="12">
          <cell r="C12" t="str">
            <v>חטיבות הביניים</v>
          </cell>
          <cell r="D12">
            <v>1300500</v>
          </cell>
          <cell r="F12">
            <v>1409651.13</v>
          </cell>
          <cell r="H12">
            <v>1402000</v>
          </cell>
        </row>
        <row r="13">
          <cell r="C13" t="str">
            <v>חינוך יסודי</v>
          </cell>
          <cell r="D13">
            <v>4833400</v>
          </cell>
          <cell r="F13">
            <v>4845100.8600000013</v>
          </cell>
          <cell r="H13">
            <v>4792000</v>
          </cell>
        </row>
        <row r="14">
          <cell r="C14" t="str">
            <v>חינוך נלווה</v>
          </cell>
          <cell r="D14">
            <v>1374200</v>
          </cell>
          <cell r="F14">
            <v>1355328.4180000001</v>
          </cell>
          <cell r="H14">
            <v>1387000</v>
          </cell>
        </row>
        <row r="15">
          <cell r="C15" t="str">
            <v>טיפול בפרט</v>
          </cell>
          <cell r="D15">
            <v>29000</v>
          </cell>
          <cell r="F15">
            <v>28907.629999999997</v>
          </cell>
          <cell r="H15">
            <v>29000</v>
          </cell>
        </row>
        <row r="16">
          <cell r="C16" t="str">
            <v>מ.טיפולי</v>
          </cell>
          <cell r="D16">
            <v>10000</v>
          </cell>
          <cell r="F16">
            <v>10000</v>
          </cell>
          <cell r="H16">
            <v>10000</v>
          </cell>
        </row>
        <row r="17">
          <cell r="C17" t="str">
            <v>מינהל חינוך</v>
          </cell>
          <cell r="D17">
            <v>1866800</v>
          </cell>
          <cell r="F17">
            <v>1838750.8233333332</v>
          </cell>
          <cell r="H17">
            <v>2337000</v>
          </cell>
        </row>
        <row r="18">
          <cell r="C18" t="str">
            <v>עיר ללא אלימות</v>
          </cell>
          <cell r="D18">
            <v>412000</v>
          </cell>
          <cell r="F18">
            <v>230800</v>
          </cell>
          <cell r="H18">
            <v>205000</v>
          </cell>
        </row>
        <row r="19">
          <cell r="C19" t="str">
            <v>רשות למלחמה בסמים</v>
          </cell>
          <cell r="D19">
            <v>230000</v>
          </cell>
          <cell r="F19">
            <v>230000</v>
          </cell>
          <cell r="H19">
            <v>196000</v>
          </cell>
        </row>
        <row r="20">
          <cell r="C20" t="str">
            <v>שירות פסיכולוגי</v>
          </cell>
          <cell r="D20">
            <v>272000</v>
          </cell>
          <cell r="F20">
            <v>328108.11000000004</v>
          </cell>
          <cell r="H20">
            <v>378000</v>
          </cell>
        </row>
        <row r="21">
          <cell r="C21" t="str">
            <v>שמירה מוסדות חינוך</v>
          </cell>
          <cell r="D21">
            <v>1702800</v>
          </cell>
          <cell r="F21">
            <v>1822662.98</v>
          </cell>
          <cell r="H21">
            <v>2123000</v>
          </cell>
        </row>
        <row r="22">
          <cell r="C22" t="str">
            <v>תיכון בן צבי</v>
          </cell>
          <cell r="D22">
            <v>1846600</v>
          </cell>
          <cell r="F22">
            <v>1766972.17</v>
          </cell>
          <cell r="H22">
            <v>2049000</v>
          </cell>
        </row>
        <row r="23">
          <cell r="C23" t="str">
            <v>תפוח פיס</v>
          </cell>
          <cell r="D23">
            <v>267000</v>
          </cell>
          <cell r="F23">
            <v>256895.17199999999</v>
          </cell>
          <cell r="H23">
            <v>426000</v>
          </cell>
        </row>
        <row r="24">
          <cell r="C24" t="str">
            <v xml:space="preserve">חינוך יסודי </v>
          </cell>
          <cell r="D24">
            <v>0</v>
          </cell>
          <cell r="F24">
            <v>0</v>
          </cell>
          <cell r="H24">
            <v>504000</v>
          </cell>
        </row>
        <row r="25">
          <cell r="C25" t="str">
            <v>חטיבה חדשה</v>
          </cell>
          <cell r="H25">
            <v>70000</v>
          </cell>
        </row>
        <row r="26">
          <cell r="C26" t="str">
            <v>ביוב</v>
          </cell>
          <cell r="D26">
            <v>0</v>
          </cell>
          <cell r="F26">
            <v>8090.35</v>
          </cell>
          <cell r="H26">
            <v>0</v>
          </cell>
        </row>
        <row r="27">
          <cell r="C27" t="str">
            <v>חגיגות וארועים</v>
          </cell>
          <cell r="D27">
            <v>461000</v>
          </cell>
          <cell r="F27">
            <v>494288.00999999995</v>
          </cell>
          <cell r="H27">
            <v>519000</v>
          </cell>
        </row>
        <row r="28">
          <cell r="C28" t="str">
            <v>חינוך מוזיקלי</v>
          </cell>
          <cell r="D28">
            <v>220000</v>
          </cell>
          <cell r="F28">
            <v>201504</v>
          </cell>
          <cell r="H28">
            <v>270000</v>
          </cell>
        </row>
        <row r="29">
          <cell r="C29" t="str">
            <v>מועצה דתית</v>
          </cell>
          <cell r="D29">
            <v>1600000</v>
          </cell>
          <cell r="F29">
            <v>1640000</v>
          </cell>
          <cell r="H29">
            <v>1648000</v>
          </cell>
        </row>
        <row r="30">
          <cell r="C30" t="str">
            <v>מינהל כללי</v>
          </cell>
          <cell r="D30">
            <v>3525900</v>
          </cell>
          <cell r="F30">
            <v>3161647.102</v>
          </cell>
          <cell r="H30">
            <v>3830000</v>
          </cell>
        </row>
        <row r="31">
          <cell r="C31" t="str">
            <v>מינהל כספי</v>
          </cell>
          <cell r="D31">
            <v>2472100</v>
          </cell>
          <cell r="F31">
            <v>2478886.2399999998</v>
          </cell>
          <cell r="H31">
            <v>3179000</v>
          </cell>
        </row>
        <row r="32">
          <cell r="C32" t="str">
            <v>מינהלת נשים</v>
          </cell>
          <cell r="D32">
            <v>127400</v>
          </cell>
          <cell r="F32">
            <v>125000</v>
          </cell>
          <cell r="H32">
            <v>125000</v>
          </cell>
        </row>
        <row r="33">
          <cell r="C33" t="str">
            <v>מתנ"ס ארועים</v>
          </cell>
          <cell r="D33">
            <v>780000</v>
          </cell>
          <cell r="F33">
            <v>802808</v>
          </cell>
          <cell r="H33">
            <v>800000</v>
          </cell>
        </row>
        <row r="34">
          <cell r="C34" t="str">
            <v>מתנ"ס קבלניות</v>
          </cell>
          <cell r="D34">
            <v>490000</v>
          </cell>
          <cell r="F34">
            <v>480000</v>
          </cell>
          <cell r="H34">
            <v>580000</v>
          </cell>
        </row>
        <row r="35">
          <cell r="C35" t="str">
            <v>נוער</v>
          </cell>
          <cell r="D35">
            <v>283000</v>
          </cell>
          <cell r="F35">
            <v>258428.67</v>
          </cell>
          <cell r="H35">
            <v>483000</v>
          </cell>
        </row>
        <row r="36">
          <cell r="C36" t="str">
            <v>נכסים ציבורים</v>
          </cell>
          <cell r="D36">
            <v>2193300</v>
          </cell>
          <cell r="F36">
            <v>2215943.7663636366</v>
          </cell>
          <cell r="H36">
            <v>2771000</v>
          </cell>
        </row>
        <row r="37">
          <cell r="C37" t="str">
            <v>ספורט</v>
          </cell>
          <cell r="D37">
            <v>3468000</v>
          </cell>
          <cell r="F37">
            <v>3174278.8119999999</v>
          </cell>
          <cell r="H37">
            <v>3249000</v>
          </cell>
        </row>
        <row r="38">
          <cell r="C38" t="str">
            <v>עבודות גינון</v>
          </cell>
          <cell r="D38">
            <v>4145900</v>
          </cell>
          <cell r="F38">
            <v>3854625.9879999999</v>
          </cell>
          <cell r="H38">
            <v>5422000</v>
          </cell>
        </row>
        <row r="39">
          <cell r="C39" t="str">
            <v>קליטה עליה ושי"ל</v>
          </cell>
          <cell r="D39">
            <v>39000</v>
          </cell>
          <cell r="F39">
            <v>24430</v>
          </cell>
          <cell r="H39">
            <v>38000</v>
          </cell>
        </row>
        <row r="40">
          <cell r="C40" t="str">
            <v>שמירה וביטחון</v>
          </cell>
          <cell r="D40">
            <v>1583600</v>
          </cell>
          <cell r="F40">
            <v>1194505.568</v>
          </cell>
          <cell r="H40">
            <v>1276000</v>
          </cell>
        </row>
        <row r="41">
          <cell r="C41" t="str">
            <v>שרותים עירוניים</v>
          </cell>
          <cell r="D41">
            <v>2980400</v>
          </cell>
          <cell r="F41">
            <v>2978282.76</v>
          </cell>
          <cell r="H41">
            <v>3191000</v>
          </cell>
        </row>
        <row r="42">
          <cell r="C42" t="str">
            <v>תברואה וניקיון</v>
          </cell>
          <cell r="D42">
            <v>15021900</v>
          </cell>
          <cell r="F42">
            <v>14497171.032</v>
          </cell>
          <cell r="H42">
            <v>16211000</v>
          </cell>
        </row>
        <row r="43">
          <cell r="C43" t="str">
            <v>תחזוקה</v>
          </cell>
          <cell r="D43">
            <v>0</v>
          </cell>
          <cell r="F43">
            <v>0</v>
          </cell>
          <cell r="H43">
            <v>33000</v>
          </cell>
        </row>
        <row r="44">
          <cell r="C44" t="str">
            <v>תכנון ובנין עיר</v>
          </cell>
          <cell r="D44">
            <v>4513000</v>
          </cell>
          <cell r="F44">
            <v>3449017.23</v>
          </cell>
          <cell r="H44">
            <v>5312000</v>
          </cell>
        </row>
        <row r="45">
          <cell r="C45" t="str">
            <v>תמיכות מתנ"ס</v>
          </cell>
          <cell r="D45">
            <v>1048000</v>
          </cell>
          <cell r="F45">
            <v>1198000</v>
          </cell>
          <cell r="H45">
            <v>1148000</v>
          </cell>
        </row>
        <row r="46">
          <cell r="C46" t="str">
            <v>תרבות שונות</v>
          </cell>
          <cell r="D46">
            <v>200000</v>
          </cell>
          <cell r="F46">
            <v>218340</v>
          </cell>
          <cell r="H46">
            <v>190000</v>
          </cell>
        </row>
        <row r="47">
          <cell r="C47" t="str">
            <v>תרבות תורנית</v>
          </cell>
          <cell r="D47">
            <v>396000</v>
          </cell>
          <cell r="F47">
            <v>394032.6</v>
          </cell>
          <cell r="H47">
            <v>426000</v>
          </cell>
        </row>
        <row r="48">
          <cell r="C48" t="str">
            <v xml:space="preserve">מינהל ככלי </v>
          </cell>
          <cell r="D48">
            <v>0</v>
          </cell>
          <cell r="F48">
            <v>0</v>
          </cell>
          <cell r="H48">
            <v>125000</v>
          </cell>
        </row>
        <row r="49">
          <cell r="C49" t="str">
            <v xml:space="preserve">ספורט </v>
          </cell>
          <cell r="D49">
            <v>0</v>
          </cell>
          <cell r="F49">
            <v>0</v>
          </cell>
          <cell r="H49">
            <v>17000</v>
          </cell>
        </row>
        <row r="50">
          <cell r="C50" t="str">
            <v>לילד ולנוער</v>
          </cell>
          <cell r="D50">
            <v>1830000</v>
          </cell>
          <cell r="F50">
            <v>2368779</v>
          </cell>
          <cell r="H50">
            <v>2325000</v>
          </cell>
        </row>
        <row r="51">
          <cell r="C51" t="str">
            <v>מינהל רווחה</v>
          </cell>
          <cell r="D51">
            <v>533000</v>
          </cell>
          <cell r="F51">
            <v>588166.96200000006</v>
          </cell>
          <cell r="H51">
            <v>568000</v>
          </cell>
        </row>
        <row r="52">
          <cell r="C52" t="str">
            <v>עבודה קהילתית</v>
          </cell>
          <cell r="D52">
            <v>144000</v>
          </cell>
          <cell r="F52">
            <v>130021.92</v>
          </cell>
          <cell r="H52">
            <v>213000</v>
          </cell>
        </row>
        <row r="53">
          <cell r="C53" t="str">
            <v>פרט ומשפחה</v>
          </cell>
          <cell r="D53">
            <v>480000</v>
          </cell>
          <cell r="F53">
            <v>502331.38</v>
          </cell>
          <cell r="H53">
            <v>536000</v>
          </cell>
        </row>
        <row r="54">
          <cell r="C54" t="str">
            <v>שיקום</v>
          </cell>
          <cell r="D54">
            <v>2019000</v>
          </cell>
          <cell r="F54">
            <v>2522112</v>
          </cell>
          <cell r="H54">
            <v>2138000</v>
          </cell>
        </row>
        <row r="55">
          <cell r="C55" t="str">
            <v>שרותי תקון</v>
          </cell>
          <cell r="D55">
            <v>313000</v>
          </cell>
          <cell r="F55">
            <v>297568.51</v>
          </cell>
          <cell r="H55">
            <v>313000</v>
          </cell>
        </row>
        <row r="56">
          <cell r="C56" t="str">
            <v>שרותים לזקן</v>
          </cell>
          <cell r="D56">
            <v>1430000</v>
          </cell>
          <cell r="F56">
            <v>1595367.02</v>
          </cell>
          <cell r="H56">
            <v>1565000</v>
          </cell>
        </row>
        <row r="57">
          <cell r="C57" t="str">
            <v>שרותים למפגר</v>
          </cell>
          <cell r="D57">
            <v>8060000</v>
          </cell>
          <cell r="F57">
            <v>8917564.0199999996</v>
          </cell>
          <cell r="H57">
            <v>8799000</v>
          </cell>
        </row>
        <row r="58">
          <cell r="C58" t="str">
            <v>שרותים לעולים</v>
          </cell>
          <cell r="D58">
            <v>17000</v>
          </cell>
          <cell r="F58">
            <v>21516</v>
          </cell>
          <cell r="H58">
            <v>17000</v>
          </cell>
        </row>
        <row r="59">
          <cell r="C59" t="str">
            <v>פרעון מלוות</v>
          </cell>
          <cell r="D59">
            <v>7040000</v>
          </cell>
          <cell r="F59">
            <v>6949519</v>
          </cell>
          <cell r="H59">
            <v>7795000</v>
          </cell>
        </row>
        <row r="60">
          <cell r="C60" t="str">
            <v>גני ילדים</v>
          </cell>
          <cell r="D60">
            <v>12094500</v>
          </cell>
          <cell r="F60">
            <v>12024104.960000003</v>
          </cell>
          <cell r="H60">
            <v>13534000</v>
          </cell>
        </row>
        <row r="61">
          <cell r="C61" t="str">
            <v>הסעות וליווי</v>
          </cell>
          <cell r="D61">
            <v>1438800</v>
          </cell>
          <cell r="F61">
            <v>1687023.5300000003</v>
          </cell>
          <cell r="H61">
            <v>1725000</v>
          </cell>
        </row>
        <row r="62">
          <cell r="C62" t="str">
            <v>חטיבות הביניים</v>
          </cell>
          <cell r="D62">
            <v>2482500</v>
          </cell>
          <cell r="F62">
            <v>2590142.5599999996</v>
          </cell>
          <cell r="H62">
            <v>2514000</v>
          </cell>
        </row>
        <row r="63">
          <cell r="C63" t="str">
            <v>חינוך יסודי</v>
          </cell>
          <cell r="D63">
            <v>7169200</v>
          </cell>
          <cell r="F63">
            <v>7503324.6500000013</v>
          </cell>
          <cell r="H63">
            <v>7413000</v>
          </cell>
        </row>
        <row r="64">
          <cell r="C64" t="str">
            <v>חינוך נלווה</v>
          </cell>
          <cell r="D64">
            <v>4087300</v>
          </cell>
          <cell r="F64">
            <v>4099843.2599999993</v>
          </cell>
          <cell r="H64">
            <v>4615000</v>
          </cell>
        </row>
        <row r="65">
          <cell r="C65" t="str">
            <v>טיפול בפרט</v>
          </cell>
          <cell r="D65">
            <v>393800</v>
          </cell>
          <cell r="F65">
            <v>489671.93000000005</v>
          </cell>
          <cell r="H65">
            <v>521000</v>
          </cell>
        </row>
        <row r="66">
          <cell r="C66" t="str">
            <v>מינהל חינוך</v>
          </cell>
          <cell r="D66">
            <v>1668100</v>
          </cell>
          <cell r="F66">
            <v>1643796.0800000003</v>
          </cell>
          <cell r="H66">
            <v>1786000</v>
          </cell>
        </row>
        <row r="67">
          <cell r="C67" t="str">
            <v>קב"ס</v>
          </cell>
          <cell r="D67">
            <v>320000</v>
          </cell>
          <cell r="F67">
            <v>322889.45000000007</v>
          </cell>
          <cell r="H67">
            <v>329000</v>
          </cell>
        </row>
        <row r="68">
          <cell r="C68" t="str">
            <v>רשות למלחמה בסמים</v>
          </cell>
          <cell r="D68">
            <v>201100</v>
          </cell>
          <cell r="F68">
            <v>197295.38</v>
          </cell>
          <cell r="H68">
            <v>214000</v>
          </cell>
        </row>
        <row r="69">
          <cell r="C69" t="str">
            <v>שירות פסיכולוגי</v>
          </cell>
          <cell r="D69">
            <v>2082600</v>
          </cell>
          <cell r="F69">
            <v>2235555.8899999997</v>
          </cell>
          <cell r="H69">
            <v>2303000</v>
          </cell>
        </row>
        <row r="70">
          <cell r="C70" t="str">
            <v>תיכון בן צבי</v>
          </cell>
          <cell r="D70">
            <v>33881900</v>
          </cell>
          <cell r="F70">
            <v>35039878.800000004</v>
          </cell>
          <cell r="H70">
            <v>35654000</v>
          </cell>
        </row>
        <row r="71">
          <cell r="C71" t="str">
            <v>תפוח פיס</v>
          </cell>
          <cell r="D71">
            <v>464400</v>
          </cell>
          <cell r="F71">
            <v>488741.57</v>
          </cell>
          <cell r="H71">
            <v>510000</v>
          </cell>
        </row>
        <row r="72">
          <cell r="C72" t="str">
            <v xml:space="preserve">מחוננים יהלום </v>
          </cell>
          <cell r="D72">
            <v>0</v>
          </cell>
          <cell r="F72">
            <v>0</v>
          </cell>
          <cell r="H72">
            <v>0</v>
          </cell>
        </row>
        <row r="73">
          <cell r="C73" t="str">
            <v>חטיבה חדשה</v>
          </cell>
          <cell r="D73">
            <v>0</v>
          </cell>
          <cell r="F73">
            <v>0</v>
          </cell>
          <cell r="H73">
            <v>60000</v>
          </cell>
        </row>
        <row r="74">
          <cell r="C74" t="str">
            <v>חינוך מוזיקלי</v>
          </cell>
          <cell r="D74">
            <v>391300</v>
          </cell>
          <cell r="F74">
            <v>392462.94999999995</v>
          </cell>
          <cell r="H74">
            <v>403000</v>
          </cell>
        </row>
        <row r="75">
          <cell r="C75" t="str">
            <v>מינהל כללי</v>
          </cell>
          <cell r="D75">
            <v>6893900</v>
          </cell>
          <cell r="F75">
            <v>6584232.4499999983</v>
          </cell>
          <cell r="H75">
            <v>6979000</v>
          </cell>
        </row>
        <row r="76">
          <cell r="C76" t="str">
            <v>מינהל כספי</v>
          </cell>
          <cell r="D76">
            <v>3499600</v>
          </cell>
          <cell r="F76">
            <v>3493538.6100000003</v>
          </cell>
          <cell r="H76">
            <v>3368000</v>
          </cell>
        </row>
        <row r="77">
          <cell r="C77" t="str">
            <v>נוער</v>
          </cell>
          <cell r="D77">
            <v>1383500</v>
          </cell>
          <cell r="F77">
            <v>1448699.3</v>
          </cell>
          <cell r="H77">
            <v>1483000</v>
          </cell>
        </row>
        <row r="78">
          <cell r="C78" t="str">
            <v>נכסים ציבורים</v>
          </cell>
          <cell r="D78">
            <v>2573300</v>
          </cell>
          <cell r="F78">
            <v>2683413.6900000004</v>
          </cell>
          <cell r="H78">
            <v>2803000</v>
          </cell>
        </row>
        <row r="79">
          <cell r="C79" t="str">
            <v>ספורט</v>
          </cell>
          <cell r="D79">
            <v>3324700</v>
          </cell>
          <cell r="F79">
            <v>3469403.2500000005</v>
          </cell>
          <cell r="H79">
            <v>3503000</v>
          </cell>
        </row>
        <row r="80">
          <cell r="C80" t="str">
            <v>עבודות גינון</v>
          </cell>
          <cell r="D80">
            <v>1031200</v>
          </cell>
          <cell r="F80">
            <v>1020678.34</v>
          </cell>
          <cell r="H80">
            <v>1062000</v>
          </cell>
        </row>
        <row r="81">
          <cell r="C81" t="str">
            <v>פנסיה</v>
          </cell>
          <cell r="D81">
            <v>19050400</v>
          </cell>
          <cell r="F81">
            <v>18419691.830000002</v>
          </cell>
          <cell r="H81">
            <v>19242000</v>
          </cell>
        </row>
        <row r="82">
          <cell r="C82" t="str">
            <v>שמירה וביטחון</v>
          </cell>
          <cell r="D82">
            <v>858400</v>
          </cell>
          <cell r="F82">
            <v>870219.78</v>
          </cell>
          <cell r="H82">
            <v>916000</v>
          </cell>
        </row>
        <row r="83">
          <cell r="C83" t="str">
            <v>שרותים עירוניים</v>
          </cell>
          <cell r="D83">
            <v>855300</v>
          </cell>
          <cell r="F83">
            <v>849677.50999999989</v>
          </cell>
          <cell r="H83">
            <v>863000</v>
          </cell>
        </row>
        <row r="84">
          <cell r="C84" t="str">
            <v>תברואה וניקיון</v>
          </cell>
          <cell r="D84">
            <v>7878900</v>
          </cell>
          <cell r="F84">
            <v>8135030.9599999981</v>
          </cell>
          <cell r="H84">
            <v>8712000</v>
          </cell>
        </row>
        <row r="85">
          <cell r="C85" t="str">
            <v>תכנון ובנין עיר</v>
          </cell>
          <cell r="D85">
            <v>3894800</v>
          </cell>
          <cell r="F85">
            <v>4096397.1999999997</v>
          </cell>
          <cell r="H85">
            <v>4457000</v>
          </cell>
        </row>
        <row r="86">
          <cell r="C86" t="str">
            <v>תרבות תורנית</v>
          </cell>
          <cell r="D86">
            <v>146500</v>
          </cell>
          <cell r="F86">
            <v>152829.22000000003</v>
          </cell>
          <cell r="H86">
            <v>157000</v>
          </cell>
        </row>
        <row r="87">
          <cell r="C87" t="str">
            <v>מינהל רווחה</v>
          </cell>
          <cell r="D87">
            <v>5893500</v>
          </cell>
          <cell r="F87">
            <v>6145021.2300000004</v>
          </cell>
          <cell r="H87">
            <v>6438000</v>
          </cell>
        </row>
        <row r="88">
          <cell r="C88" t="str">
            <v>שרותי תקון</v>
          </cell>
          <cell r="F88">
            <v>36044.21</v>
          </cell>
        </row>
        <row r="89">
          <cell r="D89">
            <v>254899300</v>
          </cell>
          <cell r="F89">
            <v>256206524.02369696</v>
          </cell>
          <cell r="H89">
            <v>272076000</v>
          </cell>
        </row>
        <row r="90">
          <cell r="C90" t="str">
            <v>ארנונה</v>
          </cell>
          <cell r="D90">
            <v>-100953000</v>
          </cell>
          <cell r="F90">
            <v>-98700000</v>
          </cell>
          <cell r="H90">
            <v>-106409000</v>
          </cell>
        </row>
        <row r="91">
          <cell r="C91" t="str">
            <v>בטחון</v>
          </cell>
          <cell r="D91">
            <v>-10000</v>
          </cell>
          <cell r="F91">
            <v>-5000</v>
          </cell>
          <cell r="H91">
            <v>-10000</v>
          </cell>
        </row>
        <row r="92">
          <cell r="C92" t="str">
            <v>הרשות למלחמה בסמים</v>
          </cell>
          <cell r="D92">
            <v>-50000</v>
          </cell>
          <cell r="F92">
            <v>-50000</v>
          </cell>
          <cell r="H92">
            <v>-68000</v>
          </cell>
        </row>
        <row r="93">
          <cell r="C93" t="str">
            <v>מצילה</v>
          </cell>
          <cell r="D93">
            <v>-261000</v>
          </cell>
          <cell r="F93">
            <v>-200000</v>
          </cell>
          <cell r="H93">
            <v>-326000</v>
          </cell>
        </row>
        <row r="94">
          <cell r="C94" t="str">
            <v>נכסים ציבורים</v>
          </cell>
          <cell r="D94">
            <v>-150000</v>
          </cell>
          <cell r="F94">
            <v>-150000</v>
          </cell>
          <cell r="H94">
            <v>-150000</v>
          </cell>
        </row>
        <row r="95">
          <cell r="C95" t="str">
            <v>קליטת עליה</v>
          </cell>
          <cell r="D95">
            <v>-20000</v>
          </cell>
          <cell r="F95">
            <v>-13000</v>
          </cell>
          <cell r="H95">
            <v>-20000</v>
          </cell>
        </row>
        <row r="96">
          <cell r="C96" t="str">
            <v>שמירה וביטחון</v>
          </cell>
          <cell r="D96">
            <v>-880000</v>
          </cell>
          <cell r="F96">
            <v>-1080000</v>
          </cell>
          <cell r="H96">
            <v>-1080000</v>
          </cell>
        </row>
        <row r="97">
          <cell r="C97" t="str">
            <v>תברואה</v>
          </cell>
          <cell r="D97">
            <v>-200000</v>
          </cell>
          <cell r="F97">
            <v>-131000</v>
          </cell>
          <cell r="H97">
            <v>-485000</v>
          </cell>
        </row>
        <row r="98">
          <cell r="C98" t="str">
            <v>אשכול פיס</v>
          </cell>
          <cell r="D98">
            <v>-480000</v>
          </cell>
          <cell r="F98">
            <v>-433204.33</v>
          </cell>
          <cell r="H98">
            <v>-440000</v>
          </cell>
        </row>
        <row r="99">
          <cell r="C99" t="str">
            <v>ביה"ס תיכון</v>
          </cell>
          <cell r="D99">
            <v>-33050000</v>
          </cell>
          <cell r="F99">
            <v>-35976833.350000001</v>
          </cell>
          <cell r="H99">
            <v>-36800000</v>
          </cell>
        </row>
        <row r="100">
          <cell r="C100" t="str">
            <v>הסעות</v>
          </cell>
          <cell r="D100">
            <v>-1478700</v>
          </cell>
          <cell r="F100">
            <v>-2199997.41</v>
          </cell>
          <cell r="H100">
            <v>-1794000</v>
          </cell>
        </row>
        <row r="101">
          <cell r="C101" t="str">
            <v>חטיבות ביניים</v>
          </cell>
          <cell r="D101">
            <v>-3649100</v>
          </cell>
          <cell r="F101">
            <v>-3752222.49</v>
          </cell>
          <cell r="H101">
            <v>-3750000</v>
          </cell>
        </row>
        <row r="102">
          <cell r="C102" t="str">
            <v>חינוך יסודי</v>
          </cell>
          <cell r="D102">
            <v>-6293600</v>
          </cell>
          <cell r="F102">
            <v>-6123243.9700000007</v>
          </cell>
          <cell r="H102">
            <v>-6037000</v>
          </cell>
        </row>
        <row r="103">
          <cell r="C103" t="str">
            <v>חינוך נלווה</v>
          </cell>
          <cell r="D103">
            <v>-2839200</v>
          </cell>
          <cell r="F103">
            <v>-2952124.44</v>
          </cell>
          <cell r="H103">
            <v>-3477000</v>
          </cell>
        </row>
        <row r="104">
          <cell r="C104" t="str">
            <v>חינוך קדם יסודי</v>
          </cell>
          <cell r="D104">
            <v>-20471700</v>
          </cell>
          <cell r="F104">
            <v>-21206883.030000001</v>
          </cell>
          <cell r="H104">
            <v>-21330000</v>
          </cell>
        </row>
        <row r="105">
          <cell r="C105" t="str">
            <v>מועדון טיפולי</v>
          </cell>
          <cell r="D105">
            <v>-26500</v>
          </cell>
          <cell r="F105">
            <v>-52978.28</v>
          </cell>
          <cell r="H105">
            <v>-52000</v>
          </cell>
        </row>
        <row r="106">
          <cell r="C106" t="str">
            <v>נוער</v>
          </cell>
          <cell r="D106">
            <v>-95000</v>
          </cell>
          <cell r="F106">
            <v>-95000</v>
          </cell>
          <cell r="H106">
            <v>-100000</v>
          </cell>
        </row>
        <row r="107">
          <cell r="C107" t="str">
            <v>קב"ס</v>
          </cell>
          <cell r="D107">
            <v>-211500</v>
          </cell>
          <cell r="F107">
            <v>-189028.25</v>
          </cell>
          <cell r="H107">
            <v>-189000</v>
          </cell>
        </row>
        <row r="108">
          <cell r="C108" t="str">
            <v>שמירה וביטחון</v>
          </cell>
          <cell r="D108">
            <v>-118100</v>
          </cell>
          <cell r="F108">
            <v>-111667.02</v>
          </cell>
          <cell r="H108">
            <v>-108000</v>
          </cell>
        </row>
        <row r="109">
          <cell r="C109" t="str">
            <v>שרות פסיכולוגי</v>
          </cell>
          <cell r="D109">
            <v>-1658400</v>
          </cell>
          <cell r="F109">
            <v>-1997993.2</v>
          </cell>
          <cell r="H109">
            <v>-1900000</v>
          </cell>
        </row>
        <row r="110">
          <cell r="C110" t="str">
            <v xml:space="preserve">חינוך יסודי </v>
          </cell>
          <cell r="D110">
            <v>0</v>
          </cell>
          <cell r="F110">
            <v>-111908.65</v>
          </cell>
          <cell r="H110">
            <v>-317000</v>
          </cell>
        </row>
        <row r="111">
          <cell r="C111" t="str">
            <v xml:space="preserve">חינוך קדם יסודי </v>
          </cell>
          <cell r="D111">
            <v>0</v>
          </cell>
          <cell r="F111">
            <v>0</v>
          </cell>
          <cell r="H111">
            <v>-702000</v>
          </cell>
        </row>
        <row r="112">
          <cell r="C112" t="str">
            <v>מינהל רווחה</v>
          </cell>
          <cell r="D112">
            <v>-2120000</v>
          </cell>
          <cell r="F112">
            <v>-1821000</v>
          </cell>
          <cell r="H112">
            <v>-2120000</v>
          </cell>
        </row>
        <row r="113">
          <cell r="C113" t="str">
            <v>עבודה קהילתית</v>
          </cell>
          <cell r="D113">
            <v>-19500</v>
          </cell>
          <cell r="F113">
            <v>-25000</v>
          </cell>
          <cell r="H113">
            <v>-45000</v>
          </cell>
        </row>
        <row r="114">
          <cell r="C114" t="str">
            <v>רווחת הפרט והמשפחה</v>
          </cell>
          <cell r="D114">
            <v>-292000</v>
          </cell>
          <cell r="F114">
            <v>-274000</v>
          </cell>
          <cell r="H114">
            <v>-380000</v>
          </cell>
        </row>
        <row r="115">
          <cell r="C115" t="str">
            <v>שרותי שיקום</v>
          </cell>
          <cell r="D115">
            <v>-1804000</v>
          </cell>
          <cell r="F115">
            <v>-1934000</v>
          </cell>
          <cell r="H115">
            <v>-1834000</v>
          </cell>
        </row>
        <row r="116">
          <cell r="C116" t="str">
            <v>שרותי תיקון</v>
          </cell>
          <cell r="D116">
            <v>-246000</v>
          </cell>
          <cell r="F116">
            <v>-224000</v>
          </cell>
          <cell r="H116">
            <v>-333000</v>
          </cell>
        </row>
        <row r="117">
          <cell r="C117" t="str">
            <v>שרותים לזקן</v>
          </cell>
          <cell r="D117">
            <v>-705000</v>
          </cell>
          <cell r="F117">
            <v>-671000</v>
          </cell>
          <cell r="H117">
            <v>-1020000</v>
          </cell>
        </row>
        <row r="118">
          <cell r="C118" t="str">
            <v>שרותים לילד ולנוער</v>
          </cell>
          <cell r="D118">
            <v>-1485000</v>
          </cell>
          <cell r="F118">
            <v>-1824000</v>
          </cell>
          <cell r="H118">
            <v>-1640000</v>
          </cell>
        </row>
        <row r="119">
          <cell r="C119" t="str">
            <v>שרותים למפגר</v>
          </cell>
          <cell r="D119">
            <v>-6630000</v>
          </cell>
          <cell r="F119">
            <v>-6989000</v>
          </cell>
          <cell r="H119">
            <v>-6630000</v>
          </cell>
        </row>
        <row r="120">
          <cell r="C120" t="str">
            <v>שרותים לעולים</v>
          </cell>
          <cell r="D120">
            <v>-65000</v>
          </cell>
          <cell r="F120">
            <v>-18000</v>
          </cell>
          <cell r="H120">
            <v>-65000</v>
          </cell>
        </row>
        <row r="121">
          <cell r="C121" t="str">
            <v>ביה"ס תיכון</v>
          </cell>
          <cell r="D121">
            <v>-1080000</v>
          </cell>
          <cell r="F121">
            <v>-1024517</v>
          </cell>
          <cell r="H121">
            <v>-850000</v>
          </cell>
        </row>
        <row r="122">
          <cell r="C122" t="str">
            <v>בית ספר מנגן</v>
          </cell>
          <cell r="D122">
            <v>-1000</v>
          </cell>
          <cell r="F122">
            <v>0</v>
          </cell>
          <cell r="H122">
            <v>0</v>
          </cell>
        </row>
        <row r="123">
          <cell r="C123" t="str">
            <v>הסעות</v>
          </cell>
          <cell r="D123">
            <v>-5000</v>
          </cell>
          <cell r="F123">
            <v>-12615.98</v>
          </cell>
          <cell r="H123">
            <v>-58000</v>
          </cell>
        </row>
        <row r="124">
          <cell r="C124" t="str">
            <v>חטיבות ביניים</v>
          </cell>
          <cell r="D124">
            <v>-38500</v>
          </cell>
          <cell r="F124">
            <v>-38559.120000000003</v>
          </cell>
          <cell r="H124">
            <v>-15000</v>
          </cell>
        </row>
        <row r="125">
          <cell r="C125" t="str">
            <v>חינוך יסודי</v>
          </cell>
          <cell r="D125">
            <v>-916000</v>
          </cell>
          <cell r="F125">
            <v>-884598</v>
          </cell>
          <cell r="H125">
            <v>-742000</v>
          </cell>
        </row>
        <row r="126">
          <cell r="C126" t="str">
            <v>חינוך נלווה</v>
          </cell>
          <cell r="D126">
            <v>-720000</v>
          </cell>
          <cell r="F126">
            <v>-814854.6</v>
          </cell>
          <cell r="H126">
            <v>-740000</v>
          </cell>
        </row>
        <row r="127">
          <cell r="C127" t="str">
            <v>חינוך קדם יסודי</v>
          </cell>
          <cell r="D127">
            <v>-1768200</v>
          </cell>
          <cell r="F127">
            <v>-1563005</v>
          </cell>
          <cell r="H127">
            <v>-2043000</v>
          </cell>
        </row>
        <row r="128">
          <cell r="C128" t="str">
            <v>טיפול בפרט</v>
          </cell>
          <cell r="D128">
            <v>-40000</v>
          </cell>
          <cell r="F128">
            <v>-62983.32</v>
          </cell>
          <cell r="H128">
            <v>-40000</v>
          </cell>
        </row>
        <row r="129">
          <cell r="C129" t="str">
            <v>עבודה קהילתית</v>
          </cell>
          <cell r="D129">
            <v>0</v>
          </cell>
          <cell r="F129">
            <v>-3000</v>
          </cell>
          <cell r="H129">
            <v>-5000</v>
          </cell>
        </row>
        <row r="130">
          <cell r="C130" t="str">
            <v>רווחת הפרט והמשפחה</v>
          </cell>
          <cell r="D130">
            <v>-162000</v>
          </cell>
          <cell r="F130">
            <v>-170000</v>
          </cell>
          <cell r="H130">
            <v>-162000</v>
          </cell>
        </row>
        <row r="131">
          <cell r="C131" t="str">
            <v>שרותי שיקום</v>
          </cell>
          <cell r="D131">
            <v>-80000</v>
          </cell>
          <cell r="F131">
            <v>-102000</v>
          </cell>
          <cell r="H131">
            <v>-80000</v>
          </cell>
        </row>
        <row r="132">
          <cell r="C132" t="str">
            <v>שרותי תיקון</v>
          </cell>
          <cell r="D132">
            <v>-41000</v>
          </cell>
          <cell r="F132">
            <v>-14000</v>
          </cell>
          <cell r="H132">
            <v>-11000</v>
          </cell>
        </row>
        <row r="133">
          <cell r="C133" t="str">
            <v>שרותים לזקן</v>
          </cell>
          <cell r="D133">
            <v>-277000</v>
          </cell>
          <cell r="F133">
            <v>-311000</v>
          </cell>
          <cell r="H133">
            <v>-262000</v>
          </cell>
        </row>
        <row r="134">
          <cell r="C134" t="str">
            <v>שרותים לילד ולנוער</v>
          </cell>
          <cell r="D134">
            <v>-20000</v>
          </cell>
          <cell r="F134">
            <v>-9000</v>
          </cell>
          <cell r="H134">
            <v>-20000</v>
          </cell>
        </row>
        <row r="135">
          <cell r="C135" t="str">
            <v>שרותים למפגר</v>
          </cell>
          <cell r="D135">
            <v>-43000</v>
          </cell>
          <cell r="F135">
            <v>-13000</v>
          </cell>
          <cell r="H135">
            <v>-20000</v>
          </cell>
        </row>
        <row r="136">
          <cell r="C136" t="str">
            <v>התנדבות</v>
          </cell>
          <cell r="D136">
            <v>0</v>
          </cell>
          <cell r="F136">
            <v>-7000</v>
          </cell>
          <cell r="H136">
            <v>0</v>
          </cell>
        </row>
        <row r="137">
          <cell r="C137" t="str">
            <v>הנחות</v>
          </cell>
          <cell r="D137">
            <v>-30023000</v>
          </cell>
          <cell r="F137">
            <v>-29343000</v>
          </cell>
          <cell r="H137">
            <v>-29615000</v>
          </cell>
        </row>
        <row r="138">
          <cell r="C138" t="str">
            <v>אישורים ושלטים</v>
          </cell>
          <cell r="D138">
            <v>-4151300</v>
          </cell>
          <cell r="F138">
            <v>-2040000</v>
          </cell>
          <cell r="H138">
            <v>-4158000</v>
          </cell>
        </row>
        <row r="139">
          <cell r="C139" t="str">
            <v>בטחון</v>
          </cell>
          <cell r="D139">
            <v>-2000</v>
          </cell>
          <cell r="F139">
            <v>-3000</v>
          </cell>
          <cell r="H139">
            <v>-2000</v>
          </cell>
        </row>
        <row r="140">
          <cell r="C140" t="str">
            <v>ביוב</v>
          </cell>
          <cell r="D140">
            <v>-439000</v>
          </cell>
          <cell r="F140">
            <v>-439000</v>
          </cell>
          <cell r="H140">
            <v>-434000</v>
          </cell>
        </row>
        <row r="141">
          <cell r="C141" t="str">
            <v>החזר הוצ' ש.קודמות</v>
          </cell>
          <cell r="D141">
            <v>-250000</v>
          </cell>
          <cell r="F141">
            <v>-65000</v>
          </cell>
          <cell r="H141">
            <v>-100000</v>
          </cell>
        </row>
        <row r="142">
          <cell r="C142" t="str">
            <v>הכנסות ביוב</v>
          </cell>
          <cell r="D142">
            <v>-240200</v>
          </cell>
          <cell r="F142">
            <v>-18000</v>
          </cell>
          <cell r="H142">
            <v>-201000</v>
          </cell>
        </row>
        <row r="143">
          <cell r="C143" t="str">
            <v>הכנסות מימון</v>
          </cell>
          <cell r="D143">
            <v>-1900000</v>
          </cell>
          <cell r="F143">
            <v>-1900000</v>
          </cell>
          <cell r="H143">
            <v>-1900000</v>
          </cell>
        </row>
        <row r="144">
          <cell r="C144" t="str">
            <v>הכנסות משכירות</v>
          </cell>
          <cell r="D144">
            <v>-5711000</v>
          </cell>
          <cell r="F144">
            <v>-5839000</v>
          </cell>
          <cell r="H144">
            <v>-6371000</v>
          </cell>
        </row>
        <row r="145">
          <cell r="C145" t="str">
            <v>הכנסות שונות</v>
          </cell>
          <cell r="D145">
            <v>-870000</v>
          </cell>
          <cell r="F145">
            <v>-455000</v>
          </cell>
          <cell r="H145">
            <v>-612000</v>
          </cell>
        </row>
        <row r="146">
          <cell r="C146" t="str">
            <v>נכסים ציבורים</v>
          </cell>
          <cell r="D146">
            <v>-932000</v>
          </cell>
          <cell r="F146">
            <v>-932000</v>
          </cell>
          <cell r="H146">
            <v>-932000</v>
          </cell>
        </row>
        <row r="147">
          <cell r="C147" t="str">
            <v>ספורט</v>
          </cell>
          <cell r="D147">
            <v>-3050000</v>
          </cell>
          <cell r="F147">
            <v>-2701000</v>
          </cell>
          <cell r="H147">
            <v>-3237000</v>
          </cell>
        </row>
        <row r="148">
          <cell r="C148" t="str">
            <v>פיקוח עירוני</v>
          </cell>
          <cell r="D148">
            <v>-3150000</v>
          </cell>
          <cell r="F148">
            <v>-3316000</v>
          </cell>
          <cell r="H148">
            <v>-3904000</v>
          </cell>
        </row>
        <row r="149">
          <cell r="C149" t="str">
            <v>שונות מים+חיוב תאגיד</v>
          </cell>
          <cell r="D149">
            <v>-316000</v>
          </cell>
          <cell r="F149">
            <v>-242000</v>
          </cell>
          <cell r="H149">
            <v>-241000</v>
          </cell>
        </row>
        <row r="150">
          <cell r="C150" t="str">
            <v>תברואה</v>
          </cell>
          <cell r="D150">
            <v>-452000</v>
          </cell>
          <cell r="F150">
            <v>-103000</v>
          </cell>
          <cell r="H150">
            <v>-355000</v>
          </cell>
        </row>
        <row r="151">
          <cell r="C151" t="str">
            <v>תחזוקה</v>
          </cell>
          <cell r="D151">
            <v>-50000</v>
          </cell>
          <cell r="F151">
            <v>0</v>
          </cell>
          <cell r="H151">
            <v>0</v>
          </cell>
        </row>
        <row r="152">
          <cell r="C152" t="str">
            <v>תכנון ובנין עיר</v>
          </cell>
          <cell r="D152">
            <v>-11314000</v>
          </cell>
          <cell r="F152">
            <v>-12220455.594500002</v>
          </cell>
          <cell r="H152">
            <v>-14854000</v>
          </cell>
        </row>
        <row r="153">
          <cell r="C153" t="str">
            <v>אגרת מים</v>
          </cell>
          <cell r="D153">
            <v>-294000</v>
          </cell>
          <cell r="F153">
            <v>-55000</v>
          </cell>
          <cell r="H153">
            <v>-301000</v>
          </cell>
        </row>
        <row r="154">
          <cell r="C154" t="str">
            <v>מענקים מיועדים</v>
          </cell>
          <cell r="D154">
            <v>-200000</v>
          </cell>
          <cell r="F154">
            <v>-266000</v>
          </cell>
          <cell r="H154">
            <v>-200000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rightToLeft="1" workbookViewId="0">
      <selection activeCell="A8" sqref="A8:G20"/>
    </sheetView>
  </sheetViews>
  <sheetFormatPr defaultRowHeight="15"/>
  <cols>
    <col min="1" max="1" width="21.5703125" bestFit="1" customWidth="1"/>
    <col min="3" max="3" width="12.7109375" bestFit="1" customWidth="1"/>
    <col min="4" max="4" width="13.85546875" hidden="1" customWidth="1"/>
    <col min="5" max="5" width="15.85546875" customWidth="1"/>
    <col min="7" max="7" width="12.7109375" bestFit="1" customWidth="1"/>
  </cols>
  <sheetData>
    <row r="2" spans="1:7" ht="23.25">
      <c r="A2" s="310" t="s">
        <v>0</v>
      </c>
      <c r="B2" s="310"/>
      <c r="C2" s="310"/>
      <c r="D2" s="310"/>
      <c r="E2" s="310"/>
      <c r="F2" s="310"/>
      <c r="G2" s="310"/>
    </row>
    <row r="3" spans="1:7" ht="23.25">
      <c r="A3" s="1"/>
      <c r="B3" s="1"/>
      <c r="C3" s="1"/>
      <c r="D3" s="1"/>
      <c r="E3" s="1"/>
      <c r="F3" s="1"/>
      <c r="G3" s="1"/>
    </row>
    <row r="4" spans="1:7">
      <c r="A4" s="310" t="s">
        <v>1</v>
      </c>
      <c r="B4" s="310"/>
      <c r="C4" s="310"/>
      <c r="D4" s="310"/>
      <c r="E4" s="310"/>
      <c r="F4" s="310"/>
      <c r="G4" s="310"/>
    </row>
    <row r="5" spans="1:7" ht="43.5" customHeight="1">
      <c r="A5" s="310"/>
      <c r="B5" s="310"/>
      <c r="C5" s="310"/>
      <c r="D5" s="310"/>
      <c r="E5" s="310"/>
      <c r="F5" s="310"/>
      <c r="G5" s="310"/>
    </row>
    <row r="6" spans="1:7" ht="23.25">
      <c r="A6" s="311" t="s">
        <v>2</v>
      </c>
      <c r="B6" s="311"/>
      <c r="C6" s="311"/>
      <c r="D6" s="311"/>
      <c r="E6" s="311"/>
      <c r="F6" s="311"/>
      <c r="G6" s="311"/>
    </row>
    <row r="7" spans="1:7" ht="24" thickBot="1">
      <c r="A7" s="2"/>
      <c r="B7" s="2"/>
      <c r="C7" s="2"/>
      <c r="D7" s="2"/>
      <c r="E7" s="2"/>
      <c r="F7" s="2"/>
      <c r="G7" s="2"/>
    </row>
    <row r="8" spans="1:7" ht="19.5" thickBot="1">
      <c r="A8" s="3"/>
      <c r="B8" s="312" t="s">
        <v>3</v>
      </c>
      <c r="C8" s="313"/>
      <c r="D8" s="313"/>
      <c r="E8" s="314"/>
      <c r="F8" s="312" t="s">
        <v>4</v>
      </c>
      <c r="G8" s="314"/>
    </row>
    <row r="9" spans="1:7" ht="49.5" customHeight="1">
      <c r="A9" s="4" t="s">
        <v>5</v>
      </c>
      <c r="B9" s="5" t="s">
        <v>6</v>
      </c>
      <c r="C9" s="5" t="s">
        <v>7</v>
      </c>
      <c r="D9" s="5" t="s">
        <v>8</v>
      </c>
      <c r="E9" s="47" t="s">
        <v>9</v>
      </c>
      <c r="F9" s="5" t="s">
        <v>6</v>
      </c>
      <c r="G9" s="6" t="s">
        <v>10</v>
      </c>
    </row>
    <row r="10" spans="1:7" ht="15.75">
      <c r="A10" s="7" t="s">
        <v>11</v>
      </c>
      <c r="B10" s="8">
        <v>0.39038286569617281</v>
      </c>
      <c r="C10" s="9">
        <v>106409</v>
      </c>
      <c r="D10" s="9">
        <v>-52215.029020000002</v>
      </c>
      <c r="E10" s="9">
        <v>52215.029020000002</v>
      </c>
      <c r="F10" s="8">
        <v>0.38037019754238605</v>
      </c>
      <c r="G10" s="10">
        <v>110043</v>
      </c>
    </row>
    <row r="11" spans="1:7" ht="15.75">
      <c r="A11" s="7" t="s">
        <v>12</v>
      </c>
      <c r="B11" s="8">
        <v>1.1042791735149096E-3</v>
      </c>
      <c r="C11" s="9">
        <v>301</v>
      </c>
      <c r="D11" s="9">
        <v>-76.667580000000001</v>
      </c>
      <c r="E11" s="9">
        <v>76.667580000000001</v>
      </c>
      <c r="F11" s="8">
        <v>5.3231019166623456E-4</v>
      </c>
      <c r="G11" s="10">
        <v>154</v>
      </c>
    </row>
    <row r="12" spans="1:7" ht="15.75">
      <c r="A12" s="7" t="s">
        <v>13</v>
      </c>
      <c r="B12" s="8">
        <v>1.6465132660248884E-2</v>
      </c>
      <c r="C12" s="9">
        <v>4488</v>
      </c>
      <c r="D12" s="9">
        <v>-1559.6877899999999</v>
      </c>
      <c r="E12" s="9">
        <v>1559.6877899999999</v>
      </c>
      <c r="F12" s="8">
        <v>1.6245830524878588E-2</v>
      </c>
      <c r="G12" s="10">
        <v>4700</v>
      </c>
    </row>
    <row r="13" spans="1:7" ht="15.75">
      <c r="A13" s="7" t="s">
        <v>14</v>
      </c>
      <c r="B13" s="8">
        <v>2.0544728809579714E-3</v>
      </c>
      <c r="C13" s="9">
        <v>560</v>
      </c>
      <c r="D13" s="9">
        <v>-450.28664999999995</v>
      </c>
      <c r="E13" s="9">
        <v>450.28664999999995</v>
      </c>
      <c r="F13" s="8">
        <v>2.1015882891757833E-3</v>
      </c>
      <c r="G13" s="10">
        <v>608</v>
      </c>
    </row>
    <row r="14" spans="1:7" ht="15.75">
      <c r="A14" s="7" t="s">
        <v>15</v>
      </c>
      <c r="B14" s="8">
        <v>0.13868058816623621</v>
      </c>
      <c r="C14" s="9">
        <v>37801</v>
      </c>
      <c r="D14" s="9">
        <v>-14711.382359999998</v>
      </c>
      <c r="E14" s="9">
        <v>14711.382359999998</v>
      </c>
      <c r="F14" s="8">
        <v>0.13365824994383091</v>
      </c>
      <c r="G14" s="10">
        <v>38668</v>
      </c>
    </row>
    <row r="15" spans="1:7" ht="15.75">
      <c r="A15" s="7" t="s">
        <v>16</v>
      </c>
      <c r="B15" s="8">
        <v>0.28210847616811457</v>
      </c>
      <c r="C15" s="9">
        <v>76896</v>
      </c>
      <c r="D15" s="9">
        <v>-42511.718522099989</v>
      </c>
      <c r="E15" s="9">
        <v>42511.718522099989</v>
      </c>
      <c r="F15" s="8">
        <v>0.30272549731252485</v>
      </c>
      <c r="G15" s="10">
        <v>87580</v>
      </c>
    </row>
    <row r="16" spans="1:7" ht="15.75">
      <c r="A16" s="11" t="s">
        <v>17</v>
      </c>
      <c r="B16" s="8">
        <v>5.160762502934961E-2</v>
      </c>
      <c r="C16" s="9">
        <v>14067</v>
      </c>
      <c r="D16" s="9">
        <v>-7384.674</v>
      </c>
      <c r="E16" s="9">
        <v>7384.674</v>
      </c>
      <c r="F16" s="8">
        <v>4.8467879919116504E-2</v>
      </c>
      <c r="G16" s="10">
        <v>14022</v>
      </c>
    </row>
    <row r="17" spans="1:7" ht="15.75">
      <c r="A17" s="7" t="s">
        <v>18</v>
      </c>
      <c r="B17" s="8">
        <v>8.2142228222587457E-3</v>
      </c>
      <c r="C17" s="9">
        <v>2239</v>
      </c>
      <c r="D17" s="9">
        <v>-1257.0017800000001</v>
      </c>
      <c r="E17" s="9">
        <v>1257.0017800000001</v>
      </c>
      <c r="F17" s="8">
        <v>1.160712742607283E-2</v>
      </c>
      <c r="G17" s="10">
        <v>3358</v>
      </c>
    </row>
    <row r="18" spans="1:7" ht="15.75">
      <c r="A18" s="7" t="s">
        <v>19</v>
      </c>
      <c r="B18" s="8">
        <v>7.3374031462784687E-4</v>
      </c>
      <c r="C18" s="9">
        <v>200</v>
      </c>
      <c r="D18" s="9">
        <v>-50</v>
      </c>
      <c r="E18" s="9">
        <v>50</v>
      </c>
      <c r="F18" s="8">
        <v>6.9131193722887611E-4</v>
      </c>
      <c r="G18" s="10">
        <v>200</v>
      </c>
    </row>
    <row r="19" spans="1:7" ht="15.75">
      <c r="A19" s="7" t="s">
        <v>20</v>
      </c>
      <c r="B19" s="8">
        <v>0.10864859708851843</v>
      </c>
      <c r="C19" s="9">
        <v>29615</v>
      </c>
      <c r="D19" s="9">
        <v>-16396.014999999999</v>
      </c>
      <c r="E19" s="9">
        <v>16396.014999999999</v>
      </c>
      <c r="F19" s="8">
        <v>0.10360000691311937</v>
      </c>
      <c r="G19" s="10">
        <v>29972</v>
      </c>
    </row>
    <row r="20" spans="1:7" ht="18.75" thickBot="1">
      <c r="A20" s="12" t="s">
        <v>21</v>
      </c>
      <c r="B20" s="13">
        <v>1</v>
      </c>
      <c r="C20" s="14">
        <v>272576</v>
      </c>
      <c r="D20" s="14">
        <v>-136612.46270209999</v>
      </c>
      <c r="E20" s="14">
        <v>136612.46270209999</v>
      </c>
      <c r="F20" s="15">
        <v>1</v>
      </c>
      <c r="G20" s="16">
        <v>289305</v>
      </c>
    </row>
    <row r="21" spans="1:7" ht="18">
      <c r="A21" s="17"/>
      <c r="B21" s="17"/>
      <c r="C21" s="18"/>
      <c r="D21" s="18"/>
      <c r="E21" s="18"/>
      <c r="F21" s="18"/>
      <c r="G21" s="19"/>
    </row>
    <row r="22" spans="1:7" ht="18.75">
      <c r="A22" s="17"/>
      <c r="B22" s="17"/>
      <c r="C22" s="20"/>
      <c r="D22" s="18"/>
      <c r="E22" s="18"/>
      <c r="F22" s="18"/>
      <c r="G22" s="19"/>
    </row>
    <row r="23" spans="1:7" ht="18.75" thickBot="1">
      <c r="A23" s="17"/>
      <c r="B23" s="17"/>
      <c r="C23" s="18"/>
      <c r="D23" s="18"/>
      <c r="E23" s="18"/>
      <c r="F23" s="18"/>
      <c r="G23" s="19"/>
    </row>
    <row r="24" spans="1:7" ht="54" customHeight="1" thickBot="1">
      <c r="A24" s="21" t="s">
        <v>22</v>
      </c>
      <c r="B24" s="22" t="s">
        <v>6</v>
      </c>
      <c r="C24" s="21" t="s">
        <v>7</v>
      </c>
      <c r="D24" s="21" t="s">
        <v>8</v>
      </c>
      <c r="E24" s="48" t="s">
        <v>9</v>
      </c>
      <c r="F24" s="21" t="s">
        <v>6</v>
      </c>
      <c r="G24" s="23" t="s">
        <v>10</v>
      </c>
    </row>
    <row r="25" spans="1:7" ht="15.75">
      <c r="A25" s="24" t="s">
        <v>23</v>
      </c>
      <c r="B25" s="25">
        <v>0.19791911246771543</v>
      </c>
      <c r="C25" s="9">
        <v>53948</v>
      </c>
      <c r="D25" s="9">
        <v>26167.835430000003</v>
      </c>
      <c r="E25" s="9">
        <v>26167.835430000003</v>
      </c>
      <c r="F25" s="25">
        <v>0.19122725151656556</v>
      </c>
      <c r="G25" s="10">
        <v>55323</v>
      </c>
    </row>
    <row r="26" spans="1:7" ht="15.75">
      <c r="A26" s="7" t="s">
        <v>24</v>
      </c>
      <c r="B26" s="8">
        <v>0.18847954332002817</v>
      </c>
      <c r="C26" s="9">
        <v>51375</v>
      </c>
      <c r="D26" s="9">
        <v>22854.214379999994</v>
      </c>
      <c r="E26" s="9">
        <v>22854.214379999994</v>
      </c>
      <c r="F26" s="8">
        <v>0.18312507561224314</v>
      </c>
      <c r="G26" s="10">
        <v>52979</v>
      </c>
    </row>
    <row r="27" spans="1:7" ht="15.75">
      <c r="A27" s="7" t="s">
        <v>25</v>
      </c>
      <c r="B27" s="8">
        <v>0.26113084057290442</v>
      </c>
      <c r="C27" s="9">
        <v>71178</v>
      </c>
      <c r="D27" s="9">
        <v>36942.782089999979</v>
      </c>
      <c r="E27" s="9">
        <v>36942.782089999979</v>
      </c>
      <c r="F27" s="8">
        <v>0.26998496396536525</v>
      </c>
      <c r="G27" s="10">
        <v>78108</v>
      </c>
    </row>
    <row r="28" spans="1:7" ht="15.75">
      <c r="A28" s="7" t="s">
        <v>26</v>
      </c>
      <c r="B28" s="8">
        <v>0.12669494012679033</v>
      </c>
      <c r="C28" s="9">
        <v>34534</v>
      </c>
      <c r="D28" s="9">
        <v>17145.370332099988</v>
      </c>
      <c r="E28" s="9">
        <v>17145.370332099988</v>
      </c>
      <c r="F28" s="8">
        <v>0.14027064862342511</v>
      </c>
      <c r="G28" s="10">
        <v>40581</v>
      </c>
    </row>
    <row r="29" spans="1:7" ht="15.75">
      <c r="A29" s="7" t="s">
        <v>27</v>
      </c>
      <c r="B29" s="8">
        <v>2.3622769429443531E-2</v>
      </c>
      <c r="C29" s="9">
        <v>6439</v>
      </c>
      <c r="D29" s="9">
        <v>3184.0126999999998</v>
      </c>
      <c r="E29" s="9">
        <v>3184.0126999999998</v>
      </c>
      <c r="F29" s="8">
        <v>2.3141667098736628E-2</v>
      </c>
      <c r="G29" s="10">
        <v>6695</v>
      </c>
    </row>
    <row r="30" spans="1:7" ht="15.75">
      <c r="A30" s="7" t="s">
        <v>28</v>
      </c>
      <c r="B30" s="8">
        <v>6.0320791265555292E-2</v>
      </c>
      <c r="C30" s="9">
        <v>16442</v>
      </c>
      <c r="D30" s="9">
        <v>9843.9963800000005</v>
      </c>
      <c r="E30" s="9">
        <v>9843.9963800000005</v>
      </c>
      <c r="F30" s="8">
        <v>5.7344325193135273E-2</v>
      </c>
      <c r="G30" s="10">
        <v>16590</v>
      </c>
    </row>
    <row r="31" spans="1:7" ht="15.75">
      <c r="A31" s="7" t="s">
        <v>29</v>
      </c>
      <c r="B31" s="8">
        <v>2.8597528762620332E-2</v>
      </c>
      <c r="C31" s="9">
        <v>7795</v>
      </c>
      <c r="D31" s="9">
        <v>3585.9570400000007</v>
      </c>
      <c r="E31" s="9">
        <v>3585.9570400000007</v>
      </c>
      <c r="F31" s="8">
        <v>2.6985361469729179E-2</v>
      </c>
      <c r="G31" s="10">
        <v>7807</v>
      </c>
    </row>
    <row r="32" spans="1:7" ht="15.75">
      <c r="A32" s="7" t="s">
        <v>30</v>
      </c>
      <c r="B32" s="8">
        <v>5.7561927682554586E-3</v>
      </c>
      <c r="C32" s="9">
        <v>1569</v>
      </c>
      <c r="D32" s="9">
        <v>937.28485000000001</v>
      </c>
      <c r="E32" s="9">
        <v>937.28485000000001</v>
      </c>
      <c r="F32" s="8">
        <v>5.4233421475605326E-3</v>
      </c>
      <c r="G32" s="10">
        <v>1569</v>
      </c>
    </row>
    <row r="33" spans="1:7" ht="15.75">
      <c r="A33" s="26" t="s">
        <v>31</v>
      </c>
      <c r="B33" s="8">
        <v>1.8343507865696174E-3</v>
      </c>
      <c r="C33" s="9">
        <v>500</v>
      </c>
      <c r="D33" s="9">
        <v>107.504</v>
      </c>
      <c r="E33" s="9">
        <v>107.504</v>
      </c>
      <c r="F33" s="8">
        <v>1.7282798430721903E-3</v>
      </c>
      <c r="G33" s="10">
        <v>500</v>
      </c>
    </row>
    <row r="34" spans="1:7" ht="15.75">
      <c r="A34" s="26" t="s">
        <v>32</v>
      </c>
      <c r="B34" s="27">
        <v>0.1056439305001174</v>
      </c>
      <c r="C34" s="9">
        <v>28796</v>
      </c>
      <c r="D34" s="9" t="e">
        <v>#N/A</v>
      </c>
      <c r="E34" s="9">
        <v>15869.701999999999</v>
      </c>
      <c r="F34" s="27">
        <v>0.10076908453016713</v>
      </c>
      <c r="G34" s="10">
        <v>29153</v>
      </c>
    </row>
    <row r="35" spans="1:7" ht="16.5" thickBot="1">
      <c r="A35" s="12" t="s">
        <v>33</v>
      </c>
      <c r="B35" s="13">
        <v>1</v>
      </c>
      <c r="C35" s="28">
        <v>272576</v>
      </c>
      <c r="D35" s="28" t="e">
        <v>#N/A</v>
      </c>
      <c r="E35" s="28">
        <v>136638.65920209995</v>
      </c>
      <c r="F35" s="29">
        <v>1.0000000000000002</v>
      </c>
      <c r="G35" s="30">
        <v>289305</v>
      </c>
    </row>
    <row r="36" spans="1:7" ht="16.5" thickBot="1">
      <c r="A36" s="17"/>
      <c r="B36" s="17"/>
      <c r="C36" s="17"/>
      <c r="D36" s="17"/>
      <c r="E36" s="17"/>
      <c r="F36" s="17"/>
      <c r="G36" s="17"/>
    </row>
    <row r="37" spans="1:7" ht="16.5" thickBot="1">
      <c r="A37" s="31" t="s">
        <v>34</v>
      </c>
      <c r="B37" s="32"/>
      <c r="C37" s="33">
        <v>0</v>
      </c>
      <c r="D37" s="33" t="e">
        <v>#N/A</v>
      </c>
      <c r="E37" s="33">
        <v>-26.196499999961816</v>
      </c>
      <c r="F37" s="33">
        <v>0</v>
      </c>
      <c r="G37" s="34">
        <v>0</v>
      </c>
    </row>
    <row r="38" spans="1:7" ht="15.75">
      <c r="A38" s="17"/>
      <c r="B38" s="17"/>
      <c r="C38" s="17"/>
      <c r="D38" s="17"/>
      <c r="E38" s="17"/>
      <c r="F38" s="17"/>
      <c r="G38" s="17"/>
    </row>
    <row r="39" spans="1:7" ht="16.5" thickBot="1">
      <c r="A39" s="17"/>
      <c r="B39" s="17"/>
      <c r="C39" s="17"/>
      <c r="D39" s="17"/>
      <c r="E39" s="17"/>
      <c r="F39" s="17"/>
      <c r="G39" s="17"/>
    </row>
    <row r="40" spans="1:7" ht="15.75">
      <c r="A40" s="35" t="s">
        <v>35</v>
      </c>
      <c r="B40" s="36">
        <v>0.484507073256633</v>
      </c>
      <c r="C40" s="37">
        <v>132065</v>
      </c>
      <c r="D40" s="37">
        <v>66402.134219999993</v>
      </c>
      <c r="E40" s="37">
        <v>66402.134219999993</v>
      </c>
      <c r="F40" s="36">
        <v>0.48608216242373964</v>
      </c>
      <c r="G40" s="38">
        <v>140626</v>
      </c>
    </row>
    <row r="41" spans="1:7" ht="15.75">
      <c r="A41" s="39" t="s">
        <v>36</v>
      </c>
      <c r="B41" s="40"/>
      <c r="C41" s="40">
        <v>140511</v>
      </c>
      <c r="D41" s="40" t="e">
        <v>#N/A</v>
      </c>
      <c r="E41" s="40">
        <v>70236.52498209996</v>
      </c>
      <c r="F41" s="41">
        <v>0.51391783757626031</v>
      </c>
      <c r="G41" s="42">
        <v>148679</v>
      </c>
    </row>
    <row r="42" spans="1:7" ht="18.75" thickBot="1">
      <c r="A42" s="43" t="s">
        <v>37</v>
      </c>
      <c r="B42" s="44"/>
      <c r="C42" s="45">
        <v>272576</v>
      </c>
      <c r="D42" s="45" t="e">
        <v>#N/A</v>
      </c>
      <c r="E42" s="45">
        <v>136638.65920209995</v>
      </c>
      <c r="F42" s="45"/>
      <c r="G42" s="46">
        <v>289305</v>
      </c>
    </row>
  </sheetData>
  <mergeCells count="5">
    <mergeCell ref="A2:G2"/>
    <mergeCell ref="A4:G5"/>
    <mergeCell ref="A6:G6"/>
    <mergeCell ref="B8:E8"/>
    <mergeCell ref="F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rightToLeft="1" workbookViewId="0">
      <selection activeCell="F8" sqref="F8"/>
    </sheetView>
  </sheetViews>
  <sheetFormatPr defaultRowHeight="15"/>
  <cols>
    <col min="2" max="2" width="22.7109375" bestFit="1" customWidth="1"/>
    <col min="4" max="4" width="14.42578125" bestFit="1" customWidth="1"/>
    <col min="5" max="5" width="12" bestFit="1" customWidth="1"/>
  </cols>
  <sheetData>
    <row r="1" spans="1:5" ht="23.25">
      <c r="A1" s="318" t="s">
        <v>38</v>
      </c>
      <c r="B1" s="318"/>
      <c r="C1" s="319"/>
      <c r="D1" s="319"/>
      <c r="E1" s="319"/>
    </row>
    <row r="2" spans="1:5" ht="23.25">
      <c r="A2" s="318" t="s">
        <v>39</v>
      </c>
      <c r="B2" s="318"/>
      <c r="C2" s="319"/>
      <c r="D2" s="319"/>
      <c r="E2" s="319"/>
    </row>
    <row r="3" spans="1:5" ht="23.25">
      <c r="A3" s="320" t="s">
        <v>40</v>
      </c>
      <c r="B3" s="320"/>
      <c r="C3" s="321"/>
      <c r="D3" s="321"/>
      <c r="E3" s="321"/>
    </row>
    <row r="4" spans="1:5" ht="23.25">
      <c r="A4" s="318" t="s">
        <v>41</v>
      </c>
      <c r="B4" s="318"/>
      <c r="C4" s="319"/>
      <c r="D4" s="319"/>
      <c r="E4" s="319"/>
    </row>
    <row r="5" spans="1:5" ht="16.5" thickBot="1">
      <c r="A5" s="49"/>
      <c r="B5" s="50"/>
      <c r="C5" s="50"/>
      <c r="D5" s="51"/>
      <c r="E5" s="51"/>
    </row>
    <row r="6" spans="1:5" ht="15.75">
      <c r="A6" s="322" t="s">
        <v>42</v>
      </c>
      <c r="B6" s="324" t="s">
        <v>43</v>
      </c>
      <c r="C6" s="326" t="s">
        <v>3</v>
      </c>
      <c r="D6" s="327"/>
      <c r="E6" s="52" t="s">
        <v>4</v>
      </c>
    </row>
    <row r="7" spans="1:5" ht="15.75">
      <c r="A7" s="323"/>
      <c r="B7" s="325"/>
      <c r="C7" s="53" t="s">
        <v>44</v>
      </c>
      <c r="D7" s="54" t="s">
        <v>46</v>
      </c>
      <c r="E7" s="55" t="s">
        <v>47</v>
      </c>
    </row>
    <row r="8" spans="1:5" ht="15.75">
      <c r="A8" s="56">
        <v>1.111</v>
      </c>
      <c r="B8" s="57" t="s">
        <v>48</v>
      </c>
      <c r="C8" s="58">
        <v>106409</v>
      </c>
      <c r="D8" s="58">
        <v>52215.029020000002</v>
      </c>
      <c r="E8" s="59">
        <v>110043</v>
      </c>
    </row>
    <row r="9" spans="1:5" ht="16.5" thickBot="1">
      <c r="A9" s="60">
        <v>1.1160000000000001</v>
      </c>
      <c r="B9" s="61" t="s">
        <v>49</v>
      </c>
      <c r="C9" s="62">
        <v>29615</v>
      </c>
      <c r="D9" s="62">
        <v>16396.014999999999</v>
      </c>
      <c r="E9" s="63">
        <v>29972</v>
      </c>
    </row>
    <row r="10" spans="1:5" ht="16.5" thickBot="1">
      <c r="A10" s="64">
        <v>1.1000000000000001</v>
      </c>
      <c r="B10" s="65" t="s">
        <v>50</v>
      </c>
      <c r="C10" s="66">
        <v>136024</v>
      </c>
      <c r="D10" s="66">
        <v>68611.044020000001</v>
      </c>
      <c r="E10" s="67">
        <v>140015</v>
      </c>
    </row>
    <row r="11" spans="1:5" ht="15.75" thickBot="1">
      <c r="A11" s="68"/>
      <c r="B11" s="68"/>
      <c r="C11" s="68"/>
      <c r="D11" s="68"/>
      <c r="E11" s="68"/>
    </row>
    <row r="12" spans="1:5" ht="15.75">
      <c r="A12" s="69">
        <v>1.1200000000000001</v>
      </c>
      <c r="B12" s="70" t="s">
        <v>51</v>
      </c>
      <c r="C12" s="71">
        <v>4158</v>
      </c>
      <c r="D12" s="71">
        <v>529.69738999999993</v>
      </c>
      <c r="E12" s="72">
        <v>2658</v>
      </c>
    </row>
    <row r="13" spans="1:5" ht="15.75">
      <c r="A13" s="73">
        <v>1.1599999999999999</v>
      </c>
      <c r="B13" s="74" t="s">
        <v>52</v>
      </c>
      <c r="C13" s="58">
        <v>1900</v>
      </c>
      <c r="D13" s="58">
        <v>950.00078000000008</v>
      </c>
      <c r="E13" s="59">
        <v>1900</v>
      </c>
    </row>
    <row r="14" spans="1:5" ht="16.5" thickBot="1">
      <c r="A14" s="75">
        <v>1.1990000000000001</v>
      </c>
      <c r="B14" s="76" t="s">
        <v>53</v>
      </c>
      <c r="C14" s="62">
        <v>200</v>
      </c>
      <c r="D14" s="62">
        <v>50</v>
      </c>
      <c r="E14" s="63">
        <v>200</v>
      </c>
    </row>
    <row r="15" spans="1:5" ht="16.5" thickBot="1">
      <c r="A15" s="77">
        <v>1.1000000000000001</v>
      </c>
      <c r="B15" s="78" t="s">
        <v>54</v>
      </c>
      <c r="C15" s="66">
        <v>6258</v>
      </c>
      <c r="D15" s="66">
        <v>1529.6981700000001</v>
      </c>
      <c r="E15" s="67">
        <v>4758</v>
      </c>
    </row>
    <row r="16" spans="1:5" ht="16.5" thickBot="1">
      <c r="A16" s="79"/>
      <c r="B16" s="79"/>
      <c r="C16" s="79"/>
      <c r="D16" s="79"/>
      <c r="E16" s="79"/>
    </row>
    <row r="17" spans="1:5" ht="15.75">
      <c r="A17" s="80">
        <v>1.21</v>
      </c>
      <c r="B17" s="81" t="s">
        <v>55</v>
      </c>
      <c r="C17" s="71">
        <v>840</v>
      </c>
      <c r="D17" s="71">
        <v>305.65030000000002</v>
      </c>
      <c r="E17" s="72">
        <v>457</v>
      </c>
    </row>
    <row r="18" spans="1:5" ht="15.75">
      <c r="A18" s="82">
        <v>1.22</v>
      </c>
      <c r="B18" s="83" t="s">
        <v>56</v>
      </c>
      <c r="C18" s="58">
        <v>12</v>
      </c>
      <c r="D18" s="58">
        <v>0.73299999999999998</v>
      </c>
      <c r="E18" s="59">
        <v>12</v>
      </c>
    </row>
    <row r="19" spans="1:5" ht="15.75">
      <c r="A19" s="82">
        <v>1.23</v>
      </c>
      <c r="B19" s="83" t="s">
        <v>57</v>
      </c>
      <c r="C19" s="58">
        <v>14854</v>
      </c>
      <c r="D19" s="58">
        <v>4550.5240000000003</v>
      </c>
      <c r="E19" s="59">
        <v>15513</v>
      </c>
    </row>
    <row r="20" spans="1:5" ht="15.75">
      <c r="A20" s="82">
        <v>1.24</v>
      </c>
      <c r="B20" s="83" t="s">
        <v>58</v>
      </c>
      <c r="C20" s="58">
        <v>1082</v>
      </c>
      <c r="D20" s="58">
        <v>217.49020000000002</v>
      </c>
      <c r="E20" s="59">
        <v>1653</v>
      </c>
    </row>
    <row r="21" spans="1:5" ht="15.75">
      <c r="A21" s="82">
        <v>1.26</v>
      </c>
      <c r="B21" s="83" t="s">
        <v>59</v>
      </c>
      <c r="C21" s="58">
        <v>6621</v>
      </c>
      <c r="D21" s="58">
        <v>4331.9797099999987</v>
      </c>
      <c r="E21" s="59">
        <v>8270</v>
      </c>
    </row>
    <row r="22" spans="1:5" ht="15.75">
      <c r="A22" s="82">
        <v>1.26</v>
      </c>
      <c r="B22" s="83" t="s">
        <v>60</v>
      </c>
      <c r="C22" s="58">
        <v>612</v>
      </c>
      <c r="D22" s="58">
        <v>188.14132000000001</v>
      </c>
      <c r="E22" s="59">
        <v>702</v>
      </c>
    </row>
    <row r="23" spans="1:5" ht="15.75">
      <c r="A23" s="82">
        <v>1.26</v>
      </c>
      <c r="B23" s="83" t="s">
        <v>61</v>
      </c>
      <c r="C23" s="58">
        <v>0</v>
      </c>
      <c r="D23" s="58">
        <v>0</v>
      </c>
      <c r="E23" s="59">
        <v>637</v>
      </c>
    </row>
    <row r="24" spans="1:5" ht="16.5" thickBot="1">
      <c r="A24" s="84">
        <v>1.28</v>
      </c>
      <c r="B24" s="85" t="s">
        <v>62</v>
      </c>
      <c r="C24" s="86">
        <v>3904</v>
      </c>
      <c r="D24" s="86">
        <v>1796.4284599999999</v>
      </c>
      <c r="E24" s="87">
        <v>3604</v>
      </c>
    </row>
    <row r="25" spans="1:5" ht="16.5" thickBot="1">
      <c r="A25" s="88">
        <v>1.2</v>
      </c>
      <c r="B25" s="89" t="s">
        <v>63</v>
      </c>
      <c r="C25" s="90">
        <v>27925</v>
      </c>
      <c r="D25" s="90">
        <v>11390.946989999999</v>
      </c>
      <c r="E25" s="91">
        <v>30848</v>
      </c>
    </row>
    <row r="26" spans="1:5" ht="16.5" thickBot="1">
      <c r="A26" s="79"/>
      <c r="B26" s="79"/>
      <c r="C26" s="79"/>
      <c r="D26" s="79"/>
      <c r="E26" s="79"/>
    </row>
    <row r="27" spans="1:5" ht="15.75">
      <c r="A27" s="92">
        <v>1.3120000000000001</v>
      </c>
      <c r="B27" s="81" t="s">
        <v>64</v>
      </c>
      <c r="C27" s="71">
        <v>24075</v>
      </c>
      <c r="D27" s="71">
        <v>13370.196762099999</v>
      </c>
      <c r="E27" s="72">
        <v>28317</v>
      </c>
    </row>
    <row r="28" spans="1:5" ht="15.75">
      <c r="A28" s="93">
        <v>1.3131999999999999</v>
      </c>
      <c r="B28" s="83" t="s">
        <v>65</v>
      </c>
      <c r="C28" s="58">
        <v>7096</v>
      </c>
      <c r="D28" s="58">
        <v>3559.0659699999997</v>
      </c>
      <c r="E28" s="59">
        <v>8291</v>
      </c>
    </row>
    <row r="29" spans="1:5" ht="15.75">
      <c r="A29" s="93">
        <v>1.3132999999999999</v>
      </c>
      <c r="B29" s="83" t="s">
        <v>66</v>
      </c>
      <c r="C29" s="58">
        <v>4217</v>
      </c>
      <c r="D29" s="58">
        <v>1913.4302399999999</v>
      </c>
      <c r="E29" s="59">
        <v>4796</v>
      </c>
    </row>
    <row r="30" spans="1:5" ht="15.75">
      <c r="A30" s="94">
        <v>1.3140000000000001</v>
      </c>
      <c r="B30" s="83" t="s">
        <v>67</v>
      </c>
      <c r="C30" s="58">
        <v>3765</v>
      </c>
      <c r="D30" s="58">
        <v>2078.9385000000002</v>
      </c>
      <c r="E30" s="59">
        <v>4264</v>
      </c>
    </row>
    <row r="31" spans="1:5" ht="15.75">
      <c r="A31" s="93">
        <v>1.3151999999999999</v>
      </c>
      <c r="B31" s="83" t="s">
        <v>68</v>
      </c>
      <c r="C31" s="58">
        <v>37650</v>
      </c>
      <c r="D31" s="58">
        <v>20261.131069999999</v>
      </c>
      <c r="E31" s="59">
        <v>40653</v>
      </c>
    </row>
    <row r="32" spans="1:5" ht="15.75">
      <c r="A32" s="93">
        <v>1.3157000000000001</v>
      </c>
      <c r="B32" s="83" t="s">
        <v>69</v>
      </c>
      <c r="C32" s="58">
        <v>440</v>
      </c>
      <c r="D32" s="58">
        <v>238.02326000000002</v>
      </c>
      <c r="E32" s="59">
        <v>498</v>
      </c>
    </row>
    <row r="33" spans="1:5" ht="15.75">
      <c r="A33" s="94">
        <v>1.3160000000000001</v>
      </c>
      <c r="B33" s="83" t="s">
        <v>70</v>
      </c>
      <c r="C33" s="58">
        <v>0</v>
      </c>
      <c r="D33" s="58">
        <v>0</v>
      </c>
      <c r="E33" s="59">
        <v>1125</v>
      </c>
    </row>
    <row r="34" spans="1:5" ht="15.75">
      <c r="A34" s="93">
        <v>1.3170999999999999</v>
      </c>
      <c r="B34" s="83" t="s">
        <v>71</v>
      </c>
      <c r="C34" s="58">
        <v>1188</v>
      </c>
      <c r="D34" s="58">
        <v>825.70483000000013</v>
      </c>
      <c r="E34" s="59">
        <v>1558</v>
      </c>
    </row>
    <row r="35" spans="1:5" ht="15.75">
      <c r="A35" s="93">
        <v>1.3172999999999999</v>
      </c>
      <c r="B35" s="83" t="s">
        <v>72</v>
      </c>
      <c r="C35" s="58">
        <v>1900</v>
      </c>
      <c r="D35" s="58">
        <v>1020.4179399999999</v>
      </c>
      <c r="E35" s="59">
        <v>1973</v>
      </c>
    </row>
    <row r="36" spans="1:5" ht="15.75">
      <c r="A36" s="93">
        <v>1.3172999999999999</v>
      </c>
      <c r="B36" s="83" t="s">
        <v>73</v>
      </c>
      <c r="C36" s="58">
        <v>40</v>
      </c>
      <c r="D36" s="58">
        <v>33.361660000000001</v>
      </c>
      <c r="E36" s="59">
        <v>40</v>
      </c>
    </row>
    <row r="37" spans="1:5" ht="15.75">
      <c r="A37" s="93">
        <v>1.3173999999999999</v>
      </c>
      <c r="B37" s="83" t="s">
        <v>74</v>
      </c>
      <c r="C37" s="58">
        <v>326</v>
      </c>
      <c r="D37" s="58">
        <v>127.59</v>
      </c>
      <c r="E37" s="59">
        <v>326</v>
      </c>
    </row>
    <row r="38" spans="1:5" ht="15.75">
      <c r="A38" s="93">
        <v>1.31741</v>
      </c>
      <c r="B38" s="83" t="s">
        <v>75</v>
      </c>
      <c r="C38" s="58">
        <v>68</v>
      </c>
      <c r="D38" s="58">
        <v>27.181000000000001</v>
      </c>
      <c r="E38" s="59">
        <v>68</v>
      </c>
    </row>
    <row r="39" spans="1:5" ht="15.75">
      <c r="A39" s="93">
        <v>1.3176000000000001</v>
      </c>
      <c r="B39" s="83" t="s">
        <v>76</v>
      </c>
      <c r="C39" s="58">
        <v>52</v>
      </c>
      <c r="D39" s="58">
        <v>20.085939999999997</v>
      </c>
      <c r="E39" s="59">
        <v>51</v>
      </c>
    </row>
    <row r="40" spans="1:5" ht="15.75">
      <c r="A40" s="93">
        <v>1.3177000000000001</v>
      </c>
      <c r="B40" s="83" t="s">
        <v>77</v>
      </c>
      <c r="C40" s="58">
        <v>189</v>
      </c>
      <c r="D40" s="58">
        <v>131.41691</v>
      </c>
      <c r="E40" s="59">
        <v>189</v>
      </c>
    </row>
    <row r="41" spans="1:5" ht="16.5" thickBot="1">
      <c r="A41" s="95">
        <v>1.3178000000000001</v>
      </c>
      <c r="B41" s="85" t="s">
        <v>78</v>
      </c>
      <c r="C41" s="86">
        <v>1852</v>
      </c>
      <c r="D41" s="86">
        <v>1418.76701</v>
      </c>
      <c r="E41" s="87">
        <v>1974</v>
      </c>
    </row>
    <row r="42" spans="1:5" ht="16.5" thickBot="1">
      <c r="A42" s="96">
        <v>1.31</v>
      </c>
      <c r="B42" s="89" t="s">
        <v>79</v>
      </c>
      <c r="C42" s="90">
        <v>82858</v>
      </c>
      <c r="D42" s="90">
        <v>45025.311092099997</v>
      </c>
      <c r="E42" s="91">
        <v>94123</v>
      </c>
    </row>
    <row r="43" spans="1:5" ht="15.75">
      <c r="A43" s="79"/>
      <c r="B43" s="97"/>
      <c r="C43" s="97"/>
      <c r="D43" s="51"/>
      <c r="E43" s="51"/>
    </row>
    <row r="44" spans="1:5" ht="15.75">
      <c r="A44" s="98" t="s">
        <v>80</v>
      </c>
      <c r="B44" s="97"/>
      <c r="C44" s="97"/>
      <c r="D44" s="99"/>
      <c r="E44" s="99"/>
    </row>
    <row r="45" spans="1:5" ht="16.5" thickBot="1">
      <c r="A45" s="79"/>
      <c r="B45" s="97"/>
      <c r="C45" s="97"/>
      <c r="D45" s="99"/>
      <c r="E45" s="99"/>
    </row>
    <row r="46" spans="1:5" ht="15.75">
      <c r="A46" s="328" t="s">
        <v>42</v>
      </c>
      <c r="B46" s="330" t="s">
        <v>43</v>
      </c>
      <c r="C46" s="326" t="s">
        <v>3</v>
      </c>
      <c r="D46" s="327"/>
      <c r="E46" s="52" t="s">
        <v>4</v>
      </c>
    </row>
    <row r="47" spans="1:5" ht="16.5" thickBot="1">
      <c r="A47" s="329"/>
      <c r="B47" s="331"/>
      <c r="C47" s="53" t="s">
        <v>44</v>
      </c>
      <c r="D47" s="54" t="s">
        <v>46</v>
      </c>
      <c r="E47" s="55" t="s">
        <v>47</v>
      </c>
    </row>
    <row r="48" spans="1:5" ht="15.75">
      <c r="A48" s="92">
        <v>1.3280000000000001</v>
      </c>
      <c r="B48" s="81" t="s">
        <v>81</v>
      </c>
      <c r="C48" s="71">
        <v>100</v>
      </c>
      <c r="D48" s="71">
        <v>0</v>
      </c>
      <c r="E48" s="72">
        <v>100</v>
      </c>
    </row>
    <row r="49" spans="1:5" ht="16.5" thickBot="1">
      <c r="A49" s="100">
        <v>1.329</v>
      </c>
      <c r="B49" s="85" t="s">
        <v>82</v>
      </c>
      <c r="C49" s="86">
        <v>3237</v>
      </c>
      <c r="D49" s="86">
        <v>1673.2724800000001</v>
      </c>
      <c r="E49" s="87">
        <v>3437</v>
      </c>
    </row>
    <row r="50" spans="1:5" ht="16.5" thickBot="1">
      <c r="A50" s="96">
        <v>1.32</v>
      </c>
      <c r="B50" s="89" t="s">
        <v>83</v>
      </c>
      <c r="C50" s="90">
        <v>3337</v>
      </c>
      <c r="D50" s="90">
        <v>1673.2724800000001</v>
      </c>
      <c r="E50" s="91">
        <v>3537</v>
      </c>
    </row>
    <row r="51" spans="1:5" ht="16.5" thickBot="1">
      <c r="A51" s="79"/>
      <c r="B51" s="79"/>
      <c r="C51" s="79"/>
      <c r="D51" s="79"/>
      <c r="E51" s="79"/>
    </row>
    <row r="52" spans="1:5" ht="15.75">
      <c r="A52" s="92">
        <v>1.341</v>
      </c>
      <c r="B52" s="81" t="s">
        <v>84</v>
      </c>
      <c r="C52" s="71">
        <v>2120</v>
      </c>
      <c r="D52" s="71">
        <v>1143.27</v>
      </c>
      <c r="E52" s="72">
        <v>2120</v>
      </c>
    </row>
    <row r="53" spans="1:5" ht="15.75">
      <c r="A53" s="94">
        <v>1.3420000000000001</v>
      </c>
      <c r="B53" s="83" t="s">
        <v>85</v>
      </c>
      <c r="C53" s="58">
        <v>542</v>
      </c>
      <c r="D53" s="58">
        <v>317.57031999999998</v>
      </c>
      <c r="E53" s="59">
        <v>590</v>
      </c>
    </row>
    <row r="54" spans="1:5" ht="15.75">
      <c r="A54" s="94">
        <v>1.3430000000000002</v>
      </c>
      <c r="B54" s="83" t="s">
        <v>86</v>
      </c>
      <c r="C54" s="58">
        <v>1660</v>
      </c>
      <c r="D54" s="58">
        <v>784.86506000000008</v>
      </c>
      <c r="E54" s="59">
        <v>1660</v>
      </c>
    </row>
    <row r="55" spans="1:5" ht="15.75">
      <c r="A55" s="94">
        <v>1.3440000000000003</v>
      </c>
      <c r="B55" s="83" t="s">
        <v>87</v>
      </c>
      <c r="C55" s="58">
        <v>1282</v>
      </c>
      <c r="D55" s="58">
        <v>657.36857999999995</v>
      </c>
      <c r="E55" s="59">
        <v>1282</v>
      </c>
    </row>
    <row r="56" spans="1:5" ht="15.75">
      <c r="A56" s="94">
        <v>1.345</v>
      </c>
      <c r="B56" s="83" t="s">
        <v>88</v>
      </c>
      <c r="C56" s="58">
        <v>6650</v>
      </c>
      <c r="D56" s="58">
        <v>3865.2139999999999</v>
      </c>
      <c r="E56" s="59">
        <v>6650</v>
      </c>
    </row>
    <row r="57" spans="1:5" ht="15.75">
      <c r="A57" s="94">
        <v>1.3460000000000005</v>
      </c>
      <c r="B57" s="83" t="s">
        <v>89</v>
      </c>
      <c r="C57" s="58">
        <v>1914</v>
      </c>
      <c r="D57" s="58">
        <v>827.36668999999995</v>
      </c>
      <c r="E57" s="59">
        <v>1914</v>
      </c>
    </row>
    <row r="58" spans="1:5" ht="15.75">
      <c r="A58" s="94">
        <v>1.3470000000000006</v>
      </c>
      <c r="B58" s="83" t="s">
        <v>90</v>
      </c>
      <c r="C58" s="58">
        <v>344</v>
      </c>
      <c r="D58" s="58">
        <v>221.93199999999999</v>
      </c>
      <c r="E58" s="59">
        <v>344</v>
      </c>
    </row>
    <row r="59" spans="1:5" ht="15.75">
      <c r="A59" s="94">
        <v>1.3480000000000008</v>
      </c>
      <c r="B59" s="83" t="s">
        <v>91</v>
      </c>
      <c r="C59" s="58">
        <v>50</v>
      </c>
      <c r="D59" s="58">
        <v>14.262</v>
      </c>
      <c r="E59" s="59">
        <v>50</v>
      </c>
    </row>
    <row r="60" spans="1:5" ht="16.5" thickBot="1">
      <c r="A60" s="100">
        <v>1.3490000000000009</v>
      </c>
      <c r="B60" s="85" t="s">
        <v>92</v>
      </c>
      <c r="C60" s="86">
        <v>65</v>
      </c>
      <c r="D60" s="86">
        <v>3.1120000000000001</v>
      </c>
      <c r="E60" s="87">
        <v>20</v>
      </c>
    </row>
    <row r="61" spans="1:5" ht="16.5" thickBot="1">
      <c r="A61" s="96">
        <v>1.34</v>
      </c>
      <c r="B61" s="89" t="s">
        <v>93</v>
      </c>
      <c r="C61" s="90">
        <v>14627</v>
      </c>
      <c r="D61" s="90">
        <v>7834.9606499999991</v>
      </c>
      <c r="E61" s="91">
        <v>14630</v>
      </c>
    </row>
    <row r="62" spans="1:5" ht="16.5" thickBot="1">
      <c r="A62" s="79"/>
      <c r="B62" s="79"/>
      <c r="C62" s="79"/>
      <c r="D62" s="79"/>
      <c r="E62" s="79"/>
    </row>
    <row r="63" spans="1:5" ht="16.5" thickBot="1">
      <c r="A63" s="101">
        <v>1.36</v>
      </c>
      <c r="B63" s="102" t="s">
        <v>94</v>
      </c>
      <c r="C63" s="103">
        <v>20</v>
      </c>
      <c r="D63" s="103">
        <v>20.832000000000001</v>
      </c>
      <c r="E63" s="104">
        <v>20</v>
      </c>
    </row>
    <row r="64" spans="1:5" ht="16.5" thickBot="1">
      <c r="A64" s="79"/>
      <c r="B64" s="79"/>
      <c r="C64" s="79"/>
      <c r="D64" s="79"/>
      <c r="E64" s="79"/>
    </row>
    <row r="65" spans="1:5" ht="15.75">
      <c r="A65" s="105">
        <v>1.4131</v>
      </c>
      <c r="B65" s="81" t="s">
        <v>95</v>
      </c>
      <c r="C65" s="71">
        <v>301</v>
      </c>
      <c r="D65" s="71">
        <v>76.667580000000001</v>
      </c>
      <c r="E65" s="72">
        <v>154</v>
      </c>
    </row>
    <row r="66" spans="1:5" ht="15.75">
      <c r="A66" s="93">
        <v>1.4132</v>
      </c>
      <c r="B66" s="83" t="s">
        <v>96</v>
      </c>
      <c r="C66" s="58">
        <v>241</v>
      </c>
      <c r="D66" s="58">
        <v>188.26661999999999</v>
      </c>
      <c r="E66" s="59">
        <v>241</v>
      </c>
    </row>
    <row r="67" spans="1:5" ht="15.75">
      <c r="A67" s="94">
        <v>1.472</v>
      </c>
      <c r="B67" s="83" t="s">
        <v>97</v>
      </c>
      <c r="C67" s="58">
        <v>434</v>
      </c>
      <c r="D67" s="58">
        <v>108</v>
      </c>
      <c r="E67" s="59">
        <v>428</v>
      </c>
    </row>
    <row r="68" spans="1:5" ht="15.75">
      <c r="A68" s="94">
        <v>1.472</v>
      </c>
      <c r="B68" s="83" t="s">
        <v>98</v>
      </c>
      <c r="C68" s="58">
        <v>201</v>
      </c>
      <c r="D68" s="58">
        <v>30.853099999999998</v>
      </c>
      <c r="E68" s="59">
        <v>201</v>
      </c>
    </row>
    <row r="69" spans="1:5" ht="16.5" thickBot="1">
      <c r="A69" s="100">
        <v>1.599</v>
      </c>
      <c r="B69" s="85" t="s">
        <v>99</v>
      </c>
      <c r="C69" s="86">
        <v>350</v>
      </c>
      <c r="D69" s="86">
        <v>122.61</v>
      </c>
      <c r="E69" s="87">
        <v>350</v>
      </c>
    </row>
    <row r="70" spans="1:5" ht="16.5" thickBot="1">
      <c r="A70" s="106">
        <v>1.4</v>
      </c>
      <c r="B70" s="107" t="s">
        <v>100</v>
      </c>
      <c r="C70" s="90">
        <v>1527</v>
      </c>
      <c r="D70" s="90">
        <v>526.39729999999997</v>
      </c>
      <c r="E70" s="91">
        <v>1374</v>
      </c>
    </row>
    <row r="71" spans="1:5" ht="16.5" thickBot="1">
      <c r="A71" s="315"/>
      <c r="B71" s="315"/>
      <c r="C71" s="315"/>
      <c r="D71" s="315"/>
      <c r="E71" s="315"/>
    </row>
    <row r="72" spans="1:5" ht="16.5" thickBot="1">
      <c r="A72" s="316" t="s">
        <v>101</v>
      </c>
      <c r="B72" s="317"/>
      <c r="C72" s="90">
        <v>272576</v>
      </c>
      <c r="D72" s="90">
        <v>136612.46270210002</v>
      </c>
      <c r="E72" s="91">
        <v>289305</v>
      </c>
    </row>
  </sheetData>
  <mergeCells count="12">
    <mergeCell ref="A1:E1"/>
    <mergeCell ref="A4:E4"/>
    <mergeCell ref="A71:E71"/>
    <mergeCell ref="A72:B72"/>
    <mergeCell ref="A2:E2"/>
    <mergeCell ref="A3:E3"/>
    <mergeCell ref="A6:A7"/>
    <mergeCell ref="B6:B7"/>
    <mergeCell ref="C6:D6"/>
    <mergeCell ref="A46:A47"/>
    <mergeCell ref="B46:B47"/>
    <mergeCell ref="C46:D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rightToLeft="1" workbookViewId="0">
      <selection sqref="A1:H88"/>
    </sheetView>
  </sheetViews>
  <sheetFormatPr defaultRowHeight="15"/>
  <sheetData>
    <row r="1" spans="1:8" ht="15.75">
      <c r="A1" s="108"/>
      <c r="B1" s="108"/>
      <c r="C1" s="108"/>
      <c r="D1" s="108"/>
      <c r="E1" s="108"/>
      <c r="F1" s="108"/>
      <c r="G1" s="108"/>
      <c r="H1" s="108"/>
    </row>
    <row r="2" spans="1:8" ht="21">
      <c r="A2" s="342" t="s">
        <v>0</v>
      </c>
      <c r="B2" s="342"/>
      <c r="C2" s="342"/>
      <c r="D2" s="342"/>
      <c r="E2" s="342"/>
      <c r="F2" s="343"/>
      <c r="G2" s="343"/>
      <c r="H2" s="343"/>
    </row>
    <row r="3" spans="1:8" ht="21">
      <c r="A3" s="109"/>
      <c r="B3" s="109"/>
      <c r="C3" s="109"/>
      <c r="D3" s="109"/>
      <c r="E3" s="109"/>
      <c r="F3" s="110"/>
      <c r="G3" s="110"/>
      <c r="H3" s="110"/>
    </row>
    <row r="4" spans="1:8">
      <c r="A4" s="342" t="s">
        <v>1</v>
      </c>
      <c r="B4" s="342"/>
      <c r="C4" s="342"/>
      <c r="D4" s="342"/>
      <c r="E4" s="342"/>
      <c r="F4" s="343"/>
      <c r="G4" s="343"/>
      <c r="H4" s="343"/>
    </row>
    <row r="5" spans="1:8">
      <c r="A5" s="342"/>
      <c r="B5" s="342"/>
      <c r="C5" s="342"/>
      <c r="D5" s="342"/>
      <c r="E5" s="342"/>
      <c r="F5" s="343"/>
      <c r="G5" s="343"/>
      <c r="H5" s="343"/>
    </row>
    <row r="6" spans="1:8" ht="21">
      <c r="A6" s="344" t="s">
        <v>2</v>
      </c>
      <c r="B6" s="344"/>
      <c r="C6" s="344"/>
      <c r="D6" s="344"/>
      <c r="E6" s="344"/>
      <c r="F6" s="345"/>
      <c r="G6" s="345"/>
      <c r="H6" s="345"/>
    </row>
    <row r="7" spans="1:8" ht="15.75">
      <c r="A7" s="108"/>
      <c r="B7" s="108"/>
      <c r="C7" s="108"/>
      <c r="D7" s="108"/>
      <c r="E7" s="108"/>
      <c r="F7" s="108"/>
      <c r="G7" s="108"/>
      <c r="H7" s="108"/>
    </row>
    <row r="8" spans="1:8" ht="20.25">
      <c r="A8" s="346" t="s">
        <v>102</v>
      </c>
      <c r="B8" s="346"/>
      <c r="C8" s="346"/>
      <c r="D8" s="346"/>
      <c r="E8" s="346"/>
      <c r="F8" s="346"/>
      <c r="G8" s="346"/>
      <c r="H8" s="346"/>
    </row>
    <row r="9" spans="1:8" ht="16.5" thickBot="1">
      <c r="A9" s="111"/>
      <c r="B9" s="111"/>
      <c r="C9" s="112"/>
      <c r="D9" s="112"/>
      <c r="E9" s="112"/>
      <c r="F9" s="112"/>
      <c r="G9" s="112"/>
      <c r="H9" s="112"/>
    </row>
    <row r="10" spans="1:8" ht="15.75">
      <c r="A10" s="113"/>
      <c r="B10" s="114"/>
      <c r="C10" s="336" t="s">
        <v>103</v>
      </c>
      <c r="D10" s="337"/>
      <c r="E10" s="336" t="s">
        <v>9</v>
      </c>
      <c r="F10" s="338"/>
      <c r="G10" s="336" t="s">
        <v>104</v>
      </c>
      <c r="H10" s="339"/>
    </row>
    <row r="11" spans="1:8" ht="16.5" thickBot="1">
      <c r="A11" s="115" t="s">
        <v>42</v>
      </c>
      <c r="B11" s="116" t="s">
        <v>43</v>
      </c>
      <c r="C11" s="116" t="s">
        <v>105</v>
      </c>
      <c r="D11" s="117" t="s">
        <v>36</v>
      </c>
      <c r="E11" s="116" t="s">
        <v>105</v>
      </c>
      <c r="F11" s="117" t="s">
        <v>36</v>
      </c>
      <c r="G11" s="116" t="s">
        <v>105</v>
      </c>
      <c r="H11" s="118" t="s">
        <v>36</v>
      </c>
    </row>
    <row r="12" spans="1:8" ht="15.75">
      <c r="A12" s="119">
        <v>6.1</v>
      </c>
      <c r="B12" s="120" t="s">
        <v>106</v>
      </c>
      <c r="C12" s="121">
        <v>6979</v>
      </c>
      <c r="D12" s="121">
        <v>3955</v>
      </c>
      <c r="E12" s="121">
        <v>3213.6409800000001</v>
      </c>
      <c r="F12" s="121">
        <v>1502.6015300000001</v>
      </c>
      <c r="G12" s="121">
        <v>7280</v>
      </c>
      <c r="H12" s="122">
        <v>4686</v>
      </c>
    </row>
    <row r="13" spans="1:8" ht="15.75">
      <c r="A13" s="123">
        <v>6.2</v>
      </c>
      <c r="B13" s="124" t="s">
        <v>107</v>
      </c>
      <c r="C13" s="125">
        <v>3368</v>
      </c>
      <c r="D13" s="125">
        <v>3179</v>
      </c>
      <c r="E13" s="125">
        <v>1750.6148799999996</v>
      </c>
      <c r="F13" s="125">
        <v>1459.8584900000001</v>
      </c>
      <c r="G13" s="125">
        <v>3761</v>
      </c>
      <c r="H13" s="126">
        <v>3241</v>
      </c>
    </row>
    <row r="14" spans="1:8" ht="15.75">
      <c r="A14" s="123">
        <v>6.3</v>
      </c>
      <c r="B14" s="124" t="s">
        <v>30</v>
      </c>
      <c r="C14" s="125">
        <v>0</v>
      </c>
      <c r="D14" s="125">
        <v>1569</v>
      </c>
      <c r="E14" s="125">
        <v>0</v>
      </c>
      <c r="F14" s="125">
        <v>937.28485000000001</v>
      </c>
      <c r="G14" s="125">
        <v>0</v>
      </c>
      <c r="H14" s="126">
        <v>1569</v>
      </c>
    </row>
    <row r="15" spans="1:8" ht="16.5" thickBot="1">
      <c r="A15" s="127">
        <v>6.4</v>
      </c>
      <c r="B15" s="128" t="s">
        <v>29</v>
      </c>
      <c r="C15" s="129">
        <v>0</v>
      </c>
      <c r="D15" s="129">
        <v>7795</v>
      </c>
      <c r="E15" s="129">
        <v>0</v>
      </c>
      <c r="F15" s="129">
        <v>3585.9570400000007</v>
      </c>
      <c r="G15" s="129">
        <v>0</v>
      </c>
      <c r="H15" s="130">
        <v>7807</v>
      </c>
    </row>
    <row r="16" spans="1:8" ht="18.75" thickBot="1">
      <c r="A16" s="131">
        <v>6</v>
      </c>
      <c r="B16" s="132" t="s">
        <v>108</v>
      </c>
      <c r="C16" s="133">
        <v>10347</v>
      </c>
      <c r="D16" s="133">
        <v>16498</v>
      </c>
      <c r="E16" s="133">
        <v>4964.2558599999993</v>
      </c>
      <c r="F16" s="133">
        <v>7485.7019100000016</v>
      </c>
      <c r="G16" s="133">
        <v>11041</v>
      </c>
      <c r="H16" s="134">
        <v>17303</v>
      </c>
    </row>
    <row r="17" spans="1:8" ht="16.5" thickBot="1">
      <c r="A17" s="135"/>
      <c r="B17" s="135"/>
      <c r="C17" s="136"/>
      <c r="D17" s="136"/>
      <c r="E17" s="136"/>
      <c r="F17" s="136"/>
      <c r="G17" s="136"/>
      <c r="H17" s="136"/>
    </row>
    <row r="18" spans="1:8" ht="15.75">
      <c r="A18" s="137">
        <v>7.1</v>
      </c>
      <c r="B18" s="138" t="s">
        <v>109</v>
      </c>
      <c r="C18" s="139">
        <v>8712</v>
      </c>
      <c r="D18" s="139">
        <v>16211</v>
      </c>
      <c r="E18" s="139">
        <v>3366.4110800000012</v>
      </c>
      <c r="F18" s="139">
        <v>7611.0306600000004</v>
      </c>
      <c r="G18" s="139">
        <v>8083</v>
      </c>
      <c r="H18" s="140">
        <v>16937</v>
      </c>
    </row>
    <row r="19" spans="1:8" ht="15.75">
      <c r="A19" s="141">
        <v>7.2</v>
      </c>
      <c r="B19" s="142" t="s">
        <v>71</v>
      </c>
      <c r="C19" s="125">
        <v>916</v>
      </c>
      <c r="D19" s="125">
        <v>1276</v>
      </c>
      <c r="E19" s="125">
        <v>473.53262000000001</v>
      </c>
      <c r="F19" s="125">
        <v>595.80700999999999</v>
      </c>
      <c r="G19" s="125">
        <v>980</v>
      </c>
      <c r="H19" s="126">
        <v>656</v>
      </c>
    </row>
    <row r="20" spans="1:8" ht="15.75">
      <c r="A20" s="123">
        <v>7.3</v>
      </c>
      <c r="B20" s="124" t="s">
        <v>57</v>
      </c>
      <c r="C20" s="125">
        <v>4457</v>
      </c>
      <c r="D20" s="125">
        <v>5312</v>
      </c>
      <c r="E20" s="125">
        <v>2127.6452000000004</v>
      </c>
      <c r="F20" s="125">
        <v>1657.4339999999997</v>
      </c>
      <c r="G20" s="125">
        <v>5157</v>
      </c>
      <c r="H20" s="126">
        <v>4857</v>
      </c>
    </row>
    <row r="21" spans="1:8" ht="15.75">
      <c r="A21" s="123">
        <v>7.4</v>
      </c>
      <c r="B21" s="124" t="s">
        <v>58</v>
      </c>
      <c r="C21" s="125">
        <v>2803</v>
      </c>
      <c r="D21" s="125">
        <v>2804</v>
      </c>
      <c r="E21" s="125">
        <v>1708.68264</v>
      </c>
      <c r="F21" s="125">
        <v>1130.1164099999999</v>
      </c>
      <c r="G21" s="125">
        <v>3352</v>
      </c>
      <c r="H21" s="126">
        <v>2462</v>
      </c>
    </row>
    <row r="22" spans="1:8" ht="15.75">
      <c r="A22" s="123">
        <v>7.46</v>
      </c>
      <c r="B22" s="124" t="s">
        <v>110</v>
      </c>
      <c r="C22" s="125">
        <v>1062</v>
      </c>
      <c r="D22" s="125">
        <v>5422</v>
      </c>
      <c r="E22" s="125">
        <v>568.90940999999987</v>
      </c>
      <c r="F22" s="125">
        <v>2355.4784900000004</v>
      </c>
      <c r="G22" s="125">
        <v>1207</v>
      </c>
      <c r="H22" s="126">
        <v>5301</v>
      </c>
    </row>
    <row r="23" spans="1:8" ht="15.75">
      <c r="A23" s="123">
        <v>7.5</v>
      </c>
      <c r="B23" s="124" t="s">
        <v>111</v>
      </c>
      <c r="C23" s="125">
        <v>0</v>
      </c>
      <c r="D23" s="125">
        <v>519</v>
      </c>
      <c r="E23" s="125">
        <v>0</v>
      </c>
      <c r="F23" s="125">
        <v>360.66571999999996</v>
      </c>
      <c r="G23" s="125">
        <v>0</v>
      </c>
      <c r="H23" s="126">
        <v>1609</v>
      </c>
    </row>
    <row r="24" spans="1:8" ht="16.5" thickBot="1">
      <c r="A24" s="127">
        <v>7.6</v>
      </c>
      <c r="B24" s="128" t="s">
        <v>112</v>
      </c>
      <c r="C24" s="129">
        <v>863</v>
      </c>
      <c r="D24" s="129">
        <v>3191</v>
      </c>
      <c r="E24" s="129">
        <v>447.9799799999999</v>
      </c>
      <c r="F24" s="129">
        <v>1635.3383999999999</v>
      </c>
      <c r="G24" s="129">
        <v>906</v>
      </c>
      <c r="H24" s="130">
        <v>3329</v>
      </c>
    </row>
    <row r="25" spans="1:8" ht="18.75" thickBot="1">
      <c r="A25" s="131">
        <v>7</v>
      </c>
      <c r="B25" s="143" t="s">
        <v>113</v>
      </c>
      <c r="C25" s="144">
        <v>18813</v>
      </c>
      <c r="D25" s="133">
        <v>34735</v>
      </c>
      <c r="E25" s="133">
        <v>8693.1609300000018</v>
      </c>
      <c r="F25" s="133">
        <v>15345.870690000003</v>
      </c>
      <c r="G25" s="133">
        <v>19685</v>
      </c>
      <c r="H25" s="134">
        <v>35151</v>
      </c>
    </row>
    <row r="26" spans="1:8" ht="16.5" thickBot="1">
      <c r="A26" s="135"/>
      <c r="B26" s="135"/>
      <c r="C26" s="136"/>
      <c r="D26" s="136"/>
      <c r="E26" s="136"/>
      <c r="F26" s="136"/>
      <c r="G26" s="136"/>
      <c r="H26" s="136"/>
    </row>
    <row r="27" spans="1:8" ht="15.75">
      <c r="A27" s="137">
        <v>8.11</v>
      </c>
      <c r="B27" s="145" t="s">
        <v>114</v>
      </c>
      <c r="C27" s="139">
        <v>1786</v>
      </c>
      <c r="D27" s="139">
        <v>2337</v>
      </c>
      <c r="E27" s="139">
        <v>903.77426999999989</v>
      </c>
      <c r="F27" s="139">
        <v>1222.8439600000002</v>
      </c>
      <c r="G27" s="139">
        <v>1949</v>
      </c>
      <c r="H27" s="140">
        <v>3232</v>
      </c>
    </row>
    <row r="28" spans="1:8" ht="15.75">
      <c r="A28" s="123">
        <v>8.1199999999999992</v>
      </c>
      <c r="B28" s="124" t="s">
        <v>115</v>
      </c>
      <c r="C28" s="125">
        <v>13534</v>
      </c>
      <c r="D28" s="125">
        <v>14831</v>
      </c>
      <c r="E28" s="125">
        <v>7221.3090899999988</v>
      </c>
      <c r="F28" s="125">
        <v>7508.6508820999989</v>
      </c>
      <c r="G28" s="125">
        <v>15335</v>
      </c>
      <c r="H28" s="126">
        <v>15340</v>
      </c>
    </row>
    <row r="29" spans="1:8" ht="15.75">
      <c r="A29" s="123">
        <v>8.1300000000000008</v>
      </c>
      <c r="B29" s="124" t="s">
        <v>65</v>
      </c>
      <c r="C29" s="125">
        <v>7413</v>
      </c>
      <c r="D29" s="125">
        <v>5296</v>
      </c>
      <c r="E29" s="125">
        <v>3779.1150899999989</v>
      </c>
      <c r="F29" s="125">
        <v>2344.1725599999995</v>
      </c>
      <c r="G29" s="125">
        <v>7613</v>
      </c>
      <c r="H29" s="126">
        <v>6265</v>
      </c>
    </row>
    <row r="30" spans="1:8" ht="15.75">
      <c r="A30" s="123">
        <v>8.1329999999999991</v>
      </c>
      <c r="B30" s="124" t="s">
        <v>66</v>
      </c>
      <c r="C30" s="125">
        <v>4615</v>
      </c>
      <c r="D30" s="125">
        <v>1387</v>
      </c>
      <c r="E30" s="125">
        <v>2755.79477</v>
      </c>
      <c r="F30" s="125">
        <v>537.77005999999994</v>
      </c>
      <c r="G30" s="125">
        <v>5537</v>
      </c>
      <c r="H30" s="126">
        <v>1453</v>
      </c>
    </row>
    <row r="31" spans="1:8" ht="15.75">
      <c r="A31" s="146">
        <v>8.1340000000000003</v>
      </c>
      <c r="B31" s="147" t="s">
        <v>116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6">
        <v>0</v>
      </c>
    </row>
    <row r="32" spans="1:8" ht="15.75">
      <c r="A32" s="123">
        <v>8.125</v>
      </c>
      <c r="B32" s="124" t="s">
        <v>70</v>
      </c>
      <c r="C32" s="125">
        <v>0</v>
      </c>
      <c r="D32" s="125">
        <v>0</v>
      </c>
      <c r="E32" s="125">
        <v>0</v>
      </c>
      <c r="F32" s="125">
        <v>0</v>
      </c>
      <c r="G32" s="125">
        <v>120</v>
      </c>
      <c r="H32" s="126">
        <v>2425</v>
      </c>
    </row>
    <row r="33" spans="1:8" ht="15.75">
      <c r="A33" s="123">
        <v>8.13401</v>
      </c>
      <c r="B33" s="148" t="s">
        <v>117</v>
      </c>
      <c r="C33" s="125">
        <v>0</v>
      </c>
      <c r="D33" s="125">
        <v>0</v>
      </c>
      <c r="E33" s="125">
        <v>0</v>
      </c>
      <c r="F33" s="125">
        <v>0</v>
      </c>
      <c r="G33" s="125">
        <v>60</v>
      </c>
      <c r="H33" s="126">
        <v>0</v>
      </c>
    </row>
    <row r="34" spans="1:8" ht="15.75">
      <c r="A34" s="123">
        <v>8.14</v>
      </c>
      <c r="B34" s="124" t="s">
        <v>118</v>
      </c>
      <c r="C34" s="125">
        <v>2574</v>
      </c>
      <c r="D34" s="125">
        <v>1472</v>
      </c>
      <c r="E34" s="125">
        <v>1472.4721899999997</v>
      </c>
      <c r="F34" s="125">
        <v>750.62088000000017</v>
      </c>
      <c r="G34" s="125">
        <v>3255</v>
      </c>
      <c r="H34" s="126">
        <v>1687</v>
      </c>
    </row>
    <row r="35" spans="1:8" ht="15.75">
      <c r="A35" s="123">
        <v>8.1519999999999992</v>
      </c>
      <c r="B35" s="124" t="s">
        <v>119</v>
      </c>
      <c r="C35" s="125">
        <v>35654</v>
      </c>
      <c r="D35" s="125">
        <v>2049</v>
      </c>
      <c r="E35" s="125">
        <v>17831.680319999996</v>
      </c>
      <c r="F35" s="125">
        <v>1141.9472200000002</v>
      </c>
      <c r="G35" s="125">
        <v>38120</v>
      </c>
      <c r="H35" s="126">
        <v>2122</v>
      </c>
    </row>
    <row r="36" spans="1:8" ht="15.75">
      <c r="A36" s="123">
        <v>8.157</v>
      </c>
      <c r="B36" s="124" t="s">
        <v>120</v>
      </c>
      <c r="C36" s="125">
        <v>510</v>
      </c>
      <c r="D36" s="125">
        <v>426</v>
      </c>
      <c r="E36" s="125">
        <v>233.91084000000001</v>
      </c>
      <c r="F36" s="125">
        <v>196.85604000000001</v>
      </c>
      <c r="G36" s="125">
        <v>580</v>
      </c>
      <c r="H36" s="126">
        <v>474</v>
      </c>
    </row>
    <row r="37" spans="1:8" ht="15.75">
      <c r="A37" s="123">
        <v>8.1669999999999998</v>
      </c>
      <c r="B37" s="124" t="s">
        <v>121</v>
      </c>
      <c r="C37" s="125">
        <v>0</v>
      </c>
      <c r="D37" s="125">
        <v>505</v>
      </c>
      <c r="E37" s="125">
        <v>0</v>
      </c>
      <c r="F37" s="125">
        <v>252.49799999999999</v>
      </c>
      <c r="G37" s="125">
        <v>0</v>
      </c>
      <c r="H37" s="126">
        <v>505</v>
      </c>
    </row>
    <row r="38" spans="1:8" ht="15.75">
      <c r="A38" s="123">
        <v>8.1709999999999994</v>
      </c>
      <c r="B38" s="124" t="s">
        <v>122</v>
      </c>
      <c r="C38" s="125">
        <v>0</v>
      </c>
      <c r="D38" s="125">
        <v>2123</v>
      </c>
      <c r="E38" s="125">
        <v>0</v>
      </c>
      <c r="F38" s="125">
        <v>1061.71795</v>
      </c>
      <c r="G38" s="125">
        <v>0</v>
      </c>
      <c r="H38" s="126">
        <v>2738</v>
      </c>
    </row>
    <row r="39" spans="1:8" ht="15.75">
      <c r="A39" s="123">
        <v>8.173</v>
      </c>
      <c r="B39" s="124" t="s">
        <v>123</v>
      </c>
      <c r="C39" s="125">
        <v>2303</v>
      </c>
      <c r="D39" s="125">
        <v>378</v>
      </c>
      <c r="E39" s="125">
        <v>1184.9165</v>
      </c>
      <c r="F39" s="125">
        <v>242.94019999999998</v>
      </c>
      <c r="G39" s="125">
        <v>2403</v>
      </c>
      <c r="H39" s="126">
        <v>381</v>
      </c>
    </row>
    <row r="40" spans="1:8" ht="15.75">
      <c r="A40" s="123">
        <v>8.1731999999999996</v>
      </c>
      <c r="B40" s="124" t="s">
        <v>73</v>
      </c>
      <c r="C40" s="125">
        <v>521</v>
      </c>
      <c r="D40" s="125">
        <v>29</v>
      </c>
      <c r="E40" s="125">
        <v>264.75851999999998</v>
      </c>
      <c r="F40" s="125">
        <v>2.30409</v>
      </c>
      <c r="G40" s="125">
        <v>559</v>
      </c>
      <c r="H40" s="126">
        <v>29</v>
      </c>
    </row>
    <row r="41" spans="1:8" ht="15.75">
      <c r="A41" s="123">
        <v>8.1739999999999995</v>
      </c>
      <c r="B41" s="124" t="s">
        <v>124</v>
      </c>
      <c r="C41" s="125">
        <v>214</v>
      </c>
      <c r="D41" s="125">
        <v>196</v>
      </c>
      <c r="E41" s="125">
        <v>127.73149000000001</v>
      </c>
      <c r="F41" s="125">
        <v>116.09174</v>
      </c>
      <c r="G41" s="125">
        <v>241</v>
      </c>
      <c r="H41" s="126">
        <v>196</v>
      </c>
    </row>
    <row r="42" spans="1:8" ht="15.75">
      <c r="A42" s="123">
        <v>8.1739999999999995</v>
      </c>
      <c r="B42" s="124" t="s">
        <v>125</v>
      </c>
      <c r="C42" s="125">
        <v>0</v>
      </c>
      <c r="D42" s="125">
        <v>205</v>
      </c>
      <c r="E42" s="125">
        <v>0</v>
      </c>
      <c r="F42" s="125">
        <v>78.437610000000021</v>
      </c>
      <c r="G42" s="125">
        <v>0</v>
      </c>
      <c r="H42" s="126">
        <v>204</v>
      </c>
    </row>
    <row r="43" spans="1:8" ht="15.75">
      <c r="A43" s="123">
        <v>8.1760000000000002</v>
      </c>
      <c r="B43" s="124" t="s">
        <v>126</v>
      </c>
      <c r="C43" s="125">
        <v>0</v>
      </c>
      <c r="D43" s="125">
        <v>10</v>
      </c>
      <c r="E43" s="125">
        <v>0</v>
      </c>
      <c r="F43" s="125">
        <v>2.1059999999999999</v>
      </c>
      <c r="G43" s="125">
        <v>0</v>
      </c>
      <c r="H43" s="126">
        <v>10</v>
      </c>
    </row>
    <row r="44" spans="1:8" ht="15.75">
      <c r="A44" s="123">
        <v>8.1739999999999995</v>
      </c>
      <c r="B44" s="124" t="s">
        <v>127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6">
        <v>0</v>
      </c>
    </row>
    <row r="45" spans="1:8" ht="15.75">
      <c r="A45" s="123">
        <v>8.1769999999999996</v>
      </c>
      <c r="B45" s="124" t="s">
        <v>77</v>
      </c>
      <c r="C45" s="125">
        <v>329</v>
      </c>
      <c r="D45" s="125">
        <v>0</v>
      </c>
      <c r="E45" s="125">
        <v>158.07205000000002</v>
      </c>
      <c r="F45" s="125">
        <v>0</v>
      </c>
      <c r="G45" s="125">
        <v>336</v>
      </c>
      <c r="H45" s="126">
        <v>0</v>
      </c>
    </row>
    <row r="46" spans="1:8" ht="15.75">
      <c r="A46" s="123">
        <v>8.1780000000000008</v>
      </c>
      <c r="B46" s="124" t="s">
        <v>128</v>
      </c>
      <c r="C46" s="125">
        <v>1725</v>
      </c>
      <c r="D46" s="125">
        <v>3251</v>
      </c>
      <c r="E46" s="125">
        <v>1009.2469599999999</v>
      </c>
      <c r="F46" s="125">
        <v>1558.50614</v>
      </c>
      <c r="G46" s="125">
        <v>2000</v>
      </c>
      <c r="H46" s="126">
        <v>3481</v>
      </c>
    </row>
    <row r="47" spans="1:8" ht="16.5" thickBot="1">
      <c r="A47" s="127">
        <v>8.1790000000000003</v>
      </c>
      <c r="B47" s="128" t="s">
        <v>129</v>
      </c>
      <c r="C47" s="129">
        <v>0</v>
      </c>
      <c r="D47" s="129">
        <v>39</v>
      </c>
      <c r="E47" s="129">
        <v>0</v>
      </c>
      <c r="F47" s="129">
        <v>127.907</v>
      </c>
      <c r="G47" s="129">
        <v>0</v>
      </c>
      <c r="H47" s="130">
        <v>39</v>
      </c>
    </row>
    <row r="48" spans="1:8" ht="18.75" thickBot="1">
      <c r="A48" s="131">
        <v>8.1</v>
      </c>
      <c r="B48" s="132" t="s">
        <v>79</v>
      </c>
      <c r="C48" s="133">
        <v>71178</v>
      </c>
      <c r="D48" s="133">
        <v>34534</v>
      </c>
      <c r="E48" s="133">
        <v>36942.782089999993</v>
      </c>
      <c r="F48" s="133">
        <v>17145.370332099999</v>
      </c>
      <c r="G48" s="133">
        <v>78108</v>
      </c>
      <c r="H48" s="134">
        <v>40581</v>
      </c>
    </row>
    <row r="49" spans="1:8" ht="15.75">
      <c r="A49" s="149"/>
      <c r="B49" s="149"/>
      <c r="C49" s="112"/>
      <c r="D49" s="112"/>
      <c r="E49" s="112"/>
      <c r="F49" s="112"/>
      <c r="G49" s="112"/>
      <c r="H49" s="112"/>
    </row>
    <row r="50" spans="1:8" ht="20.25">
      <c r="A50" s="150" t="s">
        <v>130</v>
      </c>
      <c r="B50" s="150"/>
      <c r="C50" s="112"/>
      <c r="D50" s="112"/>
      <c r="E50" s="112"/>
      <c r="F50" s="112"/>
      <c r="G50" s="112"/>
      <c r="H50" s="112"/>
    </row>
    <row r="51" spans="1:8" ht="16.5" thickBot="1">
      <c r="A51" s="151"/>
      <c r="B51" s="151"/>
      <c r="C51" s="112"/>
      <c r="D51" s="112"/>
      <c r="E51" s="112"/>
      <c r="F51" s="112"/>
      <c r="G51" s="112"/>
      <c r="H51" s="112"/>
    </row>
    <row r="52" spans="1:8" ht="15.75">
      <c r="A52" s="332" t="s">
        <v>42</v>
      </c>
      <c r="B52" s="334" t="s">
        <v>43</v>
      </c>
      <c r="C52" s="336" t="s">
        <v>103</v>
      </c>
      <c r="D52" s="337"/>
      <c r="E52" s="336" t="s">
        <v>9</v>
      </c>
      <c r="F52" s="338"/>
      <c r="G52" s="336" t="s">
        <v>104</v>
      </c>
      <c r="H52" s="339"/>
    </row>
    <row r="53" spans="1:8" ht="16.5" thickBot="1">
      <c r="A53" s="333"/>
      <c r="B53" s="335"/>
      <c r="C53" s="116" t="s">
        <v>105</v>
      </c>
      <c r="D53" s="117" t="s">
        <v>36</v>
      </c>
      <c r="E53" s="116" t="s">
        <v>105</v>
      </c>
      <c r="F53" s="117" t="s">
        <v>36</v>
      </c>
      <c r="G53" s="116" t="s">
        <v>105</v>
      </c>
      <c r="H53" s="118" t="s">
        <v>36</v>
      </c>
    </row>
    <row r="54" spans="1:8" ht="15.75">
      <c r="A54" s="152">
        <v>8.2200000000000006</v>
      </c>
      <c r="B54" s="153" t="s">
        <v>131</v>
      </c>
      <c r="C54" s="121">
        <v>0</v>
      </c>
      <c r="D54" s="121">
        <v>125</v>
      </c>
      <c r="E54" s="121">
        <v>0</v>
      </c>
      <c r="F54" s="121">
        <v>71.225899999999996</v>
      </c>
      <c r="G54" s="121">
        <v>0</v>
      </c>
      <c r="H54" s="122">
        <v>225</v>
      </c>
    </row>
    <row r="55" spans="1:8" ht="15.75">
      <c r="A55" s="154">
        <v>8.2200000000000006</v>
      </c>
      <c r="B55" s="155" t="s">
        <v>132</v>
      </c>
      <c r="C55" s="125">
        <v>0</v>
      </c>
      <c r="D55" s="125">
        <v>190</v>
      </c>
      <c r="E55" s="125">
        <v>0</v>
      </c>
      <c r="F55" s="125">
        <v>111.63788</v>
      </c>
      <c r="G55" s="125">
        <v>0</v>
      </c>
      <c r="H55" s="126">
        <v>190</v>
      </c>
    </row>
    <row r="56" spans="1:8" ht="15.75">
      <c r="A56" s="123">
        <v>8.24</v>
      </c>
      <c r="B56" s="155" t="s">
        <v>133</v>
      </c>
      <c r="C56" s="125">
        <v>0</v>
      </c>
      <c r="D56" s="125">
        <v>1648</v>
      </c>
      <c r="E56" s="125">
        <v>0</v>
      </c>
      <c r="F56" s="125">
        <v>574.00002000000006</v>
      </c>
      <c r="G56" s="125">
        <v>0</v>
      </c>
      <c r="H56" s="126">
        <v>1058</v>
      </c>
    </row>
    <row r="57" spans="1:8" ht="15.75">
      <c r="A57" s="123">
        <v>8.24</v>
      </c>
      <c r="B57" s="155" t="s">
        <v>134</v>
      </c>
      <c r="C57" s="125">
        <v>0</v>
      </c>
      <c r="D57" s="125">
        <v>580</v>
      </c>
      <c r="E57" s="125">
        <v>0</v>
      </c>
      <c r="F57" s="125">
        <v>285</v>
      </c>
      <c r="G57" s="125">
        <v>0</v>
      </c>
      <c r="H57" s="126">
        <v>580</v>
      </c>
    </row>
    <row r="58" spans="1:8" ht="15.75">
      <c r="A58" s="123">
        <v>8.24</v>
      </c>
      <c r="B58" s="155" t="s">
        <v>135</v>
      </c>
      <c r="C58" s="125">
        <v>0</v>
      </c>
      <c r="D58" s="125">
        <v>800</v>
      </c>
      <c r="E58" s="125">
        <v>0</v>
      </c>
      <c r="F58" s="125">
        <v>400.00002000000001</v>
      </c>
      <c r="G58" s="125">
        <v>0</v>
      </c>
      <c r="H58" s="126">
        <v>800</v>
      </c>
    </row>
    <row r="59" spans="1:8" ht="15.75">
      <c r="A59" s="123">
        <v>8.24</v>
      </c>
      <c r="B59" s="155" t="s">
        <v>136</v>
      </c>
      <c r="C59" s="125">
        <v>0</v>
      </c>
      <c r="D59" s="125">
        <v>0</v>
      </c>
      <c r="E59" s="125">
        <v>0</v>
      </c>
      <c r="F59" s="125">
        <v>0</v>
      </c>
      <c r="G59" s="125">
        <v>0</v>
      </c>
      <c r="H59" s="126">
        <v>0</v>
      </c>
    </row>
    <row r="60" spans="1:8" ht="15.75">
      <c r="A60" s="123">
        <v>8.25</v>
      </c>
      <c r="B60" s="155" t="s">
        <v>137</v>
      </c>
      <c r="C60" s="125">
        <v>403</v>
      </c>
      <c r="D60" s="125">
        <v>270</v>
      </c>
      <c r="E60" s="125">
        <v>215.15491</v>
      </c>
      <c r="F60" s="125">
        <v>128.4</v>
      </c>
      <c r="G60" s="125">
        <v>128</v>
      </c>
      <c r="H60" s="126">
        <v>430</v>
      </c>
    </row>
    <row r="61" spans="1:8" ht="15.75">
      <c r="A61" s="123">
        <v>8.26</v>
      </c>
      <c r="B61" s="155" t="s">
        <v>138</v>
      </c>
      <c r="C61" s="125">
        <v>0</v>
      </c>
      <c r="D61" s="125">
        <v>0</v>
      </c>
      <c r="E61" s="125">
        <v>0</v>
      </c>
      <c r="F61" s="125">
        <v>0</v>
      </c>
      <c r="G61" s="125">
        <v>0</v>
      </c>
      <c r="H61" s="126">
        <v>100</v>
      </c>
    </row>
    <row r="62" spans="1:8" ht="15.75">
      <c r="A62" s="123">
        <v>8.27</v>
      </c>
      <c r="B62" s="155" t="s">
        <v>139</v>
      </c>
      <c r="C62" s="125">
        <v>157</v>
      </c>
      <c r="D62" s="125">
        <v>426</v>
      </c>
      <c r="E62" s="125">
        <v>89.266199999999998</v>
      </c>
      <c r="F62" s="125">
        <v>229.64910999999998</v>
      </c>
      <c r="G62" s="125">
        <v>166</v>
      </c>
      <c r="H62" s="126">
        <v>426</v>
      </c>
    </row>
    <row r="63" spans="1:8" ht="15.75">
      <c r="A63" s="123">
        <v>8.2799999999999994</v>
      </c>
      <c r="B63" s="155" t="s">
        <v>81</v>
      </c>
      <c r="C63" s="125">
        <v>1483</v>
      </c>
      <c r="D63" s="125">
        <v>483</v>
      </c>
      <c r="E63" s="125">
        <v>794.06859999999995</v>
      </c>
      <c r="F63" s="125">
        <v>251.18577000000002</v>
      </c>
      <c r="G63" s="125">
        <v>1468</v>
      </c>
      <c r="H63" s="126">
        <v>503</v>
      </c>
    </row>
    <row r="64" spans="1:8" ht="16.5" thickBot="1">
      <c r="A64" s="127">
        <v>8.2910000000000004</v>
      </c>
      <c r="B64" s="156" t="s">
        <v>82</v>
      </c>
      <c r="C64" s="129">
        <v>3503</v>
      </c>
      <c r="D64" s="129">
        <v>3298</v>
      </c>
      <c r="E64" s="129">
        <v>2186.2732999999998</v>
      </c>
      <c r="F64" s="129">
        <v>1656.4672999999998</v>
      </c>
      <c r="G64" s="129">
        <v>4018</v>
      </c>
      <c r="H64" s="130">
        <v>3871</v>
      </c>
    </row>
    <row r="65" spans="1:8" ht="18.75" thickBot="1">
      <c r="A65" s="131">
        <v>8.1999999999999993</v>
      </c>
      <c r="B65" s="157" t="s">
        <v>83</v>
      </c>
      <c r="C65" s="158">
        <v>5546</v>
      </c>
      <c r="D65" s="158">
        <v>7820</v>
      </c>
      <c r="E65" s="158">
        <v>3284.7630099999997</v>
      </c>
      <c r="F65" s="158">
        <v>3707.5659999999998</v>
      </c>
      <c r="G65" s="158">
        <v>5780</v>
      </c>
      <c r="H65" s="159">
        <v>8183</v>
      </c>
    </row>
    <row r="66" spans="1:8" ht="16.5" thickBot="1">
      <c r="A66" s="135"/>
      <c r="B66" s="160"/>
      <c r="C66" s="161"/>
      <c r="D66" s="161"/>
      <c r="E66" s="161"/>
      <c r="F66" s="112"/>
      <c r="G66" s="112"/>
      <c r="H66" s="161"/>
    </row>
    <row r="67" spans="1:8" ht="16.5" thickBot="1">
      <c r="A67" s="137">
        <v>8.41</v>
      </c>
      <c r="B67" s="162" t="s">
        <v>84</v>
      </c>
      <c r="C67" s="125">
        <v>6438</v>
      </c>
      <c r="D67" s="139">
        <v>568</v>
      </c>
      <c r="E67" s="125">
        <v>3183.1597499999998</v>
      </c>
      <c r="F67" s="139">
        <v>377.91147999999998</v>
      </c>
      <c r="G67" s="125">
        <v>6694</v>
      </c>
      <c r="H67" s="139">
        <v>696</v>
      </c>
    </row>
    <row r="68" spans="1:8" ht="16.5" thickBot="1">
      <c r="A68" s="123">
        <v>8.42</v>
      </c>
      <c r="B68" s="155" t="s">
        <v>140</v>
      </c>
      <c r="C68" s="125">
        <v>0</v>
      </c>
      <c r="D68" s="139">
        <v>536</v>
      </c>
      <c r="E68" s="125">
        <v>0</v>
      </c>
      <c r="F68" s="139">
        <v>332.12265000000002</v>
      </c>
      <c r="G68" s="125">
        <v>0</v>
      </c>
      <c r="H68" s="139">
        <v>536</v>
      </c>
    </row>
    <row r="69" spans="1:8" ht="16.5" thickBot="1">
      <c r="A69" s="123">
        <v>8.43</v>
      </c>
      <c r="B69" s="155" t="s">
        <v>141</v>
      </c>
      <c r="C69" s="125">
        <v>0</v>
      </c>
      <c r="D69" s="139">
        <v>2325</v>
      </c>
      <c r="E69" s="125">
        <v>0</v>
      </c>
      <c r="F69" s="139">
        <v>1244.7329999999999</v>
      </c>
      <c r="G69" s="125">
        <v>0</v>
      </c>
      <c r="H69" s="139">
        <v>2325</v>
      </c>
    </row>
    <row r="70" spans="1:8" ht="16.5" thickBot="1">
      <c r="A70" s="123">
        <v>8.44</v>
      </c>
      <c r="B70" s="155" t="s">
        <v>87</v>
      </c>
      <c r="C70" s="125">
        <v>0</v>
      </c>
      <c r="D70" s="139">
        <v>1565</v>
      </c>
      <c r="E70" s="125">
        <v>0</v>
      </c>
      <c r="F70" s="139">
        <v>1159.1368500000001</v>
      </c>
      <c r="G70" s="125">
        <v>0</v>
      </c>
      <c r="H70" s="139">
        <v>1565</v>
      </c>
    </row>
    <row r="71" spans="1:8" ht="16.5" thickBot="1">
      <c r="A71" s="123">
        <v>8.4499999999999993</v>
      </c>
      <c r="B71" s="155" t="s">
        <v>88</v>
      </c>
      <c r="C71" s="125">
        <v>0</v>
      </c>
      <c r="D71" s="139">
        <v>8799</v>
      </c>
      <c r="E71" s="125">
        <v>0</v>
      </c>
      <c r="F71" s="139">
        <v>5014.6736800000008</v>
      </c>
      <c r="G71" s="125">
        <v>0</v>
      </c>
      <c r="H71" s="139">
        <v>8799</v>
      </c>
    </row>
    <row r="72" spans="1:8" ht="16.5" thickBot="1">
      <c r="A72" s="123">
        <v>8.4600000000000009</v>
      </c>
      <c r="B72" s="155" t="s">
        <v>142</v>
      </c>
      <c r="C72" s="125">
        <v>0</v>
      </c>
      <c r="D72" s="139">
        <v>2138</v>
      </c>
      <c r="E72" s="125">
        <v>0</v>
      </c>
      <c r="F72" s="139">
        <v>1439.3093999999999</v>
      </c>
      <c r="G72" s="125">
        <v>0</v>
      </c>
      <c r="H72" s="139">
        <v>2138</v>
      </c>
    </row>
    <row r="73" spans="1:8" ht="16.5" thickBot="1">
      <c r="A73" s="123">
        <v>8.4700000000000006</v>
      </c>
      <c r="B73" s="155" t="s">
        <v>143</v>
      </c>
      <c r="C73" s="125">
        <v>1</v>
      </c>
      <c r="D73" s="139">
        <v>313</v>
      </c>
      <c r="E73" s="125">
        <v>0.85294999999999999</v>
      </c>
      <c r="F73" s="139">
        <v>182.39753999999999</v>
      </c>
      <c r="G73" s="125">
        <v>1</v>
      </c>
      <c r="H73" s="139">
        <v>353</v>
      </c>
    </row>
    <row r="74" spans="1:8" ht="16.5" thickBot="1">
      <c r="A74" s="123">
        <v>8.48</v>
      </c>
      <c r="B74" s="155" t="s">
        <v>91</v>
      </c>
      <c r="C74" s="125">
        <v>0</v>
      </c>
      <c r="D74" s="139">
        <v>181</v>
      </c>
      <c r="E74" s="125">
        <v>0</v>
      </c>
      <c r="F74" s="139">
        <v>93.711780000000005</v>
      </c>
      <c r="G74" s="125">
        <v>0</v>
      </c>
      <c r="H74" s="139">
        <v>161</v>
      </c>
    </row>
    <row r="75" spans="1:8" ht="16.5" thickBot="1">
      <c r="A75" s="127">
        <v>8.49</v>
      </c>
      <c r="B75" s="163" t="s">
        <v>92</v>
      </c>
      <c r="C75" s="125">
        <v>0</v>
      </c>
      <c r="D75" s="139">
        <v>17</v>
      </c>
      <c r="E75" s="125">
        <v>0</v>
      </c>
      <c r="F75" s="139">
        <v>0</v>
      </c>
      <c r="G75" s="125">
        <v>0</v>
      </c>
      <c r="H75" s="139">
        <v>17</v>
      </c>
    </row>
    <row r="76" spans="1:8" ht="18.75" thickBot="1">
      <c r="A76" s="131">
        <v>8.4</v>
      </c>
      <c r="B76" s="157" t="s">
        <v>93</v>
      </c>
      <c r="C76" s="158">
        <v>6439</v>
      </c>
      <c r="D76" s="158">
        <v>16442</v>
      </c>
      <c r="E76" s="158">
        <v>3184.0126999999998</v>
      </c>
      <c r="F76" s="158">
        <v>9843.9963800000005</v>
      </c>
      <c r="G76" s="158">
        <v>6695</v>
      </c>
      <c r="H76" s="158">
        <v>16590</v>
      </c>
    </row>
    <row r="77" spans="1:8" ht="16.5" thickBot="1">
      <c r="A77" s="135"/>
      <c r="B77" s="160"/>
      <c r="C77" s="161"/>
      <c r="D77" s="161"/>
      <c r="E77" s="161"/>
      <c r="F77" s="161"/>
      <c r="G77" s="161"/>
      <c r="H77" s="161"/>
    </row>
    <row r="78" spans="1:8" ht="16.5" thickBot="1">
      <c r="A78" s="164">
        <v>8.5</v>
      </c>
      <c r="B78" s="157" t="s">
        <v>144</v>
      </c>
      <c r="C78" s="165">
        <v>0</v>
      </c>
      <c r="D78" s="165">
        <v>1648</v>
      </c>
      <c r="E78" s="165">
        <v>0</v>
      </c>
      <c r="F78" s="165">
        <v>823.99997999999994</v>
      </c>
      <c r="G78" s="165">
        <v>0</v>
      </c>
      <c r="H78" s="166">
        <v>1680</v>
      </c>
    </row>
    <row r="79" spans="1:8" ht="16.5" thickBot="1">
      <c r="A79" s="161"/>
      <c r="B79" s="161"/>
      <c r="C79" s="161"/>
      <c r="D79" s="161"/>
      <c r="E79" s="161"/>
      <c r="F79" s="161"/>
      <c r="G79" s="161"/>
      <c r="H79" s="161"/>
    </row>
    <row r="80" spans="1:8" ht="16.5" thickBot="1">
      <c r="A80" s="164">
        <v>8.6</v>
      </c>
      <c r="B80" s="157" t="s">
        <v>145</v>
      </c>
      <c r="C80" s="165">
        <v>0</v>
      </c>
      <c r="D80" s="165">
        <v>38</v>
      </c>
      <c r="E80" s="165">
        <v>0</v>
      </c>
      <c r="F80" s="165">
        <v>14.317690000000001</v>
      </c>
      <c r="G80" s="165">
        <v>0</v>
      </c>
      <c r="H80" s="166">
        <v>38</v>
      </c>
    </row>
    <row r="81" spans="1:8" ht="16.5" thickBot="1">
      <c r="A81" s="167"/>
      <c r="B81" s="167"/>
      <c r="C81" s="168"/>
      <c r="D81" s="112"/>
      <c r="E81" s="112"/>
      <c r="F81" s="112"/>
      <c r="G81" s="112"/>
      <c r="H81" s="112"/>
    </row>
    <row r="82" spans="1:8" ht="16.5" thickBot="1">
      <c r="A82" s="169">
        <v>9.6999999999999993</v>
      </c>
      <c r="B82" s="170" t="s">
        <v>97</v>
      </c>
      <c r="C82" s="129">
        <v>0</v>
      </c>
      <c r="D82" s="171">
        <v>0</v>
      </c>
      <c r="E82" s="129">
        <v>0</v>
      </c>
      <c r="F82" s="171">
        <v>0</v>
      </c>
      <c r="G82" s="129">
        <v>0</v>
      </c>
      <c r="H82" s="171">
        <v>0</v>
      </c>
    </row>
    <row r="83" spans="1:8" ht="15.75">
      <c r="A83" s="172">
        <v>9.92</v>
      </c>
      <c r="B83" s="162" t="s">
        <v>31</v>
      </c>
      <c r="C83" s="139">
        <v>0</v>
      </c>
      <c r="D83" s="139">
        <v>500</v>
      </c>
      <c r="E83" s="139">
        <v>0</v>
      </c>
      <c r="F83" s="139">
        <v>107.504</v>
      </c>
      <c r="G83" s="139">
        <v>0</v>
      </c>
      <c r="H83" s="140">
        <v>500</v>
      </c>
    </row>
    <row r="84" spans="1:8" ht="15.75">
      <c r="A84" s="173">
        <v>9.94</v>
      </c>
      <c r="B84" s="155" t="s">
        <v>146</v>
      </c>
      <c r="C84" s="125">
        <v>19242</v>
      </c>
      <c r="D84" s="125">
        <v>0</v>
      </c>
      <c r="E84" s="125">
        <v>9225.6556299999993</v>
      </c>
      <c r="F84" s="125">
        <v>0</v>
      </c>
      <c r="G84" s="125">
        <v>18817</v>
      </c>
      <c r="H84" s="126">
        <v>0</v>
      </c>
    </row>
    <row r="85" spans="1:8" ht="16.5" thickBot="1">
      <c r="A85" s="174">
        <v>9.9499999999999993</v>
      </c>
      <c r="B85" s="163" t="s">
        <v>20</v>
      </c>
      <c r="C85" s="129">
        <v>0</v>
      </c>
      <c r="D85" s="129">
        <v>28796</v>
      </c>
      <c r="E85" s="129">
        <v>0</v>
      </c>
      <c r="F85" s="129">
        <v>15869.701999999999</v>
      </c>
      <c r="G85" s="129">
        <v>0</v>
      </c>
      <c r="H85" s="130">
        <v>29153</v>
      </c>
    </row>
    <row r="86" spans="1:8" ht="18.75" thickBot="1">
      <c r="A86" s="164">
        <v>9</v>
      </c>
      <c r="B86" s="157" t="s">
        <v>147</v>
      </c>
      <c r="C86" s="158">
        <v>19242</v>
      </c>
      <c r="D86" s="158">
        <v>29296</v>
      </c>
      <c r="E86" s="158">
        <v>9225.6556299999993</v>
      </c>
      <c r="F86" s="158">
        <v>15977.206</v>
      </c>
      <c r="G86" s="158">
        <v>18817</v>
      </c>
      <c r="H86" s="159">
        <v>29653</v>
      </c>
    </row>
    <row r="87" spans="1:8" ht="16.5" thickBot="1">
      <c r="A87" s="168"/>
      <c r="B87" s="168"/>
      <c r="C87" s="112"/>
      <c r="D87" s="112"/>
      <c r="E87" s="112"/>
      <c r="F87" s="112"/>
      <c r="G87" s="112"/>
      <c r="H87" s="112"/>
    </row>
    <row r="88" spans="1:8" ht="16.5" thickBot="1">
      <c r="A88" s="340" t="s">
        <v>33</v>
      </c>
      <c r="B88" s="341"/>
      <c r="C88" s="175">
        <v>131565</v>
      </c>
      <c r="D88" s="175">
        <v>141011</v>
      </c>
      <c r="E88" s="175">
        <v>66294.630219999992</v>
      </c>
      <c r="F88" s="175">
        <v>70344.028982100004</v>
      </c>
      <c r="G88" s="175">
        <v>140126</v>
      </c>
      <c r="H88" s="176">
        <v>149179</v>
      </c>
    </row>
  </sheetData>
  <mergeCells count="13">
    <mergeCell ref="A88:B88"/>
    <mergeCell ref="A2:H2"/>
    <mergeCell ref="A4:H5"/>
    <mergeCell ref="A6:H6"/>
    <mergeCell ref="A8:H8"/>
    <mergeCell ref="C10:D10"/>
    <mergeCell ref="E10:F10"/>
    <mergeCell ref="G10:H10"/>
    <mergeCell ref="A52:A53"/>
    <mergeCell ref="B52:B53"/>
    <mergeCell ref="C52:D52"/>
    <mergeCell ref="E52:F52"/>
    <mergeCell ref="G52:H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rightToLeft="1" workbookViewId="0">
      <selection activeCell="E11" sqref="E11"/>
    </sheetView>
  </sheetViews>
  <sheetFormatPr defaultRowHeight="15"/>
  <cols>
    <col min="3" max="3" width="12.7109375" bestFit="1" customWidth="1"/>
    <col min="4" max="4" width="13.85546875" hidden="1" customWidth="1"/>
    <col min="5" max="5" width="18.28515625" bestFit="1" customWidth="1"/>
    <col min="7" max="7" width="12.7109375" bestFit="1" customWidth="1"/>
  </cols>
  <sheetData>
    <row r="1" spans="1:7">
      <c r="A1" s="177"/>
      <c r="B1" s="177"/>
      <c r="C1" s="177"/>
      <c r="D1" s="177"/>
      <c r="E1" s="177"/>
      <c r="F1" s="177"/>
      <c r="G1" s="177"/>
    </row>
    <row r="2" spans="1:7" ht="23.25">
      <c r="A2" s="347" t="s">
        <v>0</v>
      </c>
      <c r="B2" s="347"/>
      <c r="C2" s="347"/>
      <c r="D2" s="347"/>
      <c r="E2" s="347"/>
      <c r="F2" s="347"/>
      <c r="G2" s="347"/>
    </row>
    <row r="3" spans="1:7" ht="23.25">
      <c r="A3" s="178"/>
      <c r="B3" s="178"/>
      <c r="C3" s="178"/>
      <c r="D3" s="178"/>
      <c r="E3" s="178"/>
      <c r="F3" s="178"/>
      <c r="G3" s="178"/>
    </row>
    <row r="4" spans="1:7">
      <c r="A4" s="347" t="s">
        <v>151</v>
      </c>
      <c r="B4" s="347"/>
      <c r="C4" s="347"/>
      <c r="D4" s="347"/>
      <c r="E4" s="347"/>
      <c r="F4" s="347"/>
      <c r="G4" s="347"/>
    </row>
    <row r="5" spans="1:7" ht="42.75" customHeight="1">
      <c r="A5" s="347"/>
      <c r="B5" s="347"/>
      <c r="C5" s="347"/>
      <c r="D5" s="347"/>
      <c r="E5" s="347"/>
      <c r="F5" s="347"/>
      <c r="G5" s="347"/>
    </row>
    <row r="6" spans="1:7" ht="23.25">
      <c r="A6" s="348" t="s">
        <v>2</v>
      </c>
      <c r="B6" s="348"/>
      <c r="C6" s="348"/>
      <c r="D6" s="348"/>
      <c r="E6" s="348"/>
      <c r="F6" s="348"/>
      <c r="G6" s="348"/>
    </row>
    <row r="7" spans="1:7" ht="24" thickBot="1">
      <c r="A7" s="179"/>
      <c r="B7" s="179"/>
      <c r="C7" s="179"/>
      <c r="D7" s="179"/>
      <c r="E7" s="179"/>
      <c r="F7" s="179"/>
      <c r="G7" s="179"/>
    </row>
    <row r="8" spans="1:7" ht="19.5" thickBot="1">
      <c r="A8" s="180"/>
      <c r="B8" s="349" t="s">
        <v>152</v>
      </c>
      <c r="C8" s="350"/>
      <c r="D8" s="350"/>
      <c r="E8" s="351"/>
      <c r="F8" s="349" t="s">
        <v>3</v>
      </c>
      <c r="G8" s="351"/>
    </row>
    <row r="9" spans="1:7" ht="18.75">
      <c r="A9" s="181" t="s">
        <v>5</v>
      </c>
      <c r="B9" s="182" t="s">
        <v>6</v>
      </c>
      <c r="C9" s="182" t="s">
        <v>153</v>
      </c>
      <c r="D9" s="182" t="s">
        <v>8</v>
      </c>
      <c r="E9" s="182" t="s">
        <v>154</v>
      </c>
      <c r="F9" s="182" t="s">
        <v>6</v>
      </c>
      <c r="G9" s="183" t="s">
        <v>7</v>
      </c>
    </row>
    <row r="10" spans="1:7" ht="15.75">
      <c r="A10" s="184" t="s">
        <v>11</v>
      </c>
      <c r="B10" s="185">
        <f>C10/$C$20</f>
        <v>0.39620719902197227</v>
      </c>
      <c r="C10" s="186">
        <f>-VLOOKUP(A10,'[1]pivot סופי'!A3:E27,2,0)/1000</f>
        <v>100953</v>
      </c>
      <c r="D10" s="186">
        <f>-VLOOKUP(A10,'[1]pivot סופי'!A3:E27,3,0)/1000</f>
        <v>46816.136429999991</v>
      </c>
      <c r="E10" s="186">
        <f>-VLOOKUP(A10,'[1]pivot סופי'!A3:E27,4,0)/1000</f>
        <v>98700</v>
      </c>
      <c r="F10" s="185">
        <f t="shared" ref="F10:F20" si="0">G10/$G$20</f>
        <v>0.39110028080389303</v>
      </c>
      <c r="G10" s="187">
        <f>VLOOKUP(A10,'[1]pivot סופי'!$A$3:$F$27,6,0)/-1000</f>
        <v>106409</v>
      </c>
    </row>
    <row r="11" spans="1:7" ht="15.75">
      <c r="A11" s="184" t="s">
        <v>12</v>
      </c>
      <c r="B11" s="185">
        <f t="shared" ref="B11:B20" si="1">C11/$C$20</f>
        <v>1.1538529465440338E-3</v>
      </c>
      <c r="C11" s="186">
        <f>-VLOOKUP(A11,'[1]pivot סופי'!A4:E28,2,0)/1000</f>
        <v>294</v>
      </c>
      <c r="D11" s="186">
        <f>-VLOOKUP(A11,'[1]pivot סופי'!A4:E28,3,0)/1000</f>
        <v>20.776709999999998</v>
      </c>
      <c r="E11" s="186">
        <f>-VLOOKUP(A11,'[1]pivot סופי'!A4:E28,4,0)/1000</f>
        <v>55</v>
      </c>
      <c r="F11" s="185">
        <f t="shared" si="0"/>
        <v>1.1063085314397447E-3</v>
      </c>
      <c r="G11" s="187">
        <f>VLOOKUP(A11,'[1]pivot סופי'!$A$3:$F$27,6,0)/-1000</f>
        <v>301</v>
      </c>
    </row>
    <row r="12" spans="1:7" ht="15.75">
      <c r="A12" s="184" t="s">
        <v>13</v>
      </c>
      <c r="B12" s="185">
        <f t="shared" si="1"/>
        <v>1.7930639309101111E-2</v>
      </c>
      <c r="C12" s="186">
        <f>-VLOOKUP(A12,'[1]pivot סופי'!A5:E29,2,0)/1000</f>
        <v>4568.7</v>
      </c>
      <c r="D12" s="186">
        <f>-VLOOKUP(A12,'[1]pivot סופי'!A5:E29,3,0)/1000</f>
        <v>2217.47289</v>
      </c>
      <c r="E12" s="186">
        <f>-VLOOKUP(A12,'[1]pivot סופי'!A5:E29,4,0)/1000</f>
        <v>4401.1330200000011</v>
      </c>
      <c r="F12" s="185">
        <f t="shared" si="0"/>
        <v>1.6495390993692939E-2</v>
      </c>
      <c r="G12" s="187">
        <f>VLOOKUP(A12,'[1]pivot סופי'!$A$3:$F$27,6,0)/-1000</f>
        <v>4488</v>
      </c>
    </row>
    <row r="13" spans="1:7" ht="15.75">
      <c r="A13" s="184" t="s">
        <v>14</v>
      </c>
      <c r="B13" s="185">
        <f t="shared" si="1"/>
        <v>2.4450693391052146E-3</v>
      </c>
      <c r="C13" s="186">
        <f>-VLOOKUP(A13,'[1]pivot סופי'!A6:E30,2,0)/1000</f>
        <v>623</v>
      </c>
      <c r="D13" s="186">
        <f>-VLOOKUP(A13,'[1]pivot סופי'!A6:E30,3,0)/1000</f>
        <v>329.71394999999995</v>
      </c>
      <c r="E13" s="186">
        <f>-VLOOKUP(A13,'[1]pivot סופי'!A6:E30,4,0)/1000</f>
        <v>629</v>
      </c>
      <c r="F13" s="185">
        <f t="shared" si="0"/>
        <v>2.0582484305855715E-3</v>
      </c>
      <c r="G13" s="187">
        <f>VLOOKUP(A13,'[1]pivot סופי'!$A$3:$F$27,6,0)/-1000</f>
        <v>560</v>
      </c>
    </row>
    <row r="14" spans="1:7" ht="15.75">
      <c r="A14" s="184" t="s">
        <v>15</v>
      </c>
      <c r="B14" s="185">
        <f t="shared" si="1"/>
        <v>0.12883710068936827</v>
      </c>
      <c r="C14" s="186">
        <f>-VLOOKUP(A14,'[1]pivot סופי'!A7:E31,2,0)/1000</f>
        <v>32827.5</v>
      </c>
      <c r="D14" s="186">
        <f>-VLOOKUP(A14,'[1]pivot סופי'!A7:E31,3,0)/1000</f>
        <v>14814.328999999998</v>
      </c>
      <c r="E14" s="186">
        <f>-VLOOKUP(A14,'[1]pivot סופי'!A7:E31,4,0)/1000</f>
        <v>30273.455594500003</v>
      </c>
      <c r="F14" s="185">
        <f t="shared" si="0"/>
        <v>0.13709772269512929</v>
      </c>
      <c r="G14" s="187">
        <f>VLOOKUP(A14,'[1]pivot סופי'!$A$3:$F$27,6,0)/-1000</f>
        <v>37301</v>
      </c>
    </row>
    <row r="15" spans="1:7" ht="15.75">
      <c r="A15" s="184" t="s">
        <v>16</v>
      </c>
      <c r="B15" s="185">
        <f t="shared" si="1"/>
        <v>0.27618608429798452</v>
      </c>
      <c r="C15" s="186">
        <f>-VLOOKUP(A15,'[1]pivot סופי'!A8:E32,2,0)/1000</f>
        <v>70371.8</v>
      </c>
      <c r="D15" s="186">
        <f>-VLOOKUP(A15,'[1]pivot סופי'!A8:E32,3,0)/1000</f>
        <v>41002.795450000012</v>
      </c>
      <c r="E15" s="186">
        <f>-VLOOKUP(A15,'[1]pivot סופי'!A8:E32,4,0)/1000</f>
        <v>75203.084419999999</v>
      </c>
      <c r="F15" s="185">
        <f t="shared" si="0"/>
        <v>0.28299445743101193</v>
      </c>
      <c r="G15" s="187">
        <f>VLOOKUP(A15,'[1]pivot סופי'!$A$3:$F$27,6,0)/-1000</f>
        <v>76996</v>
      </c>
    </row>
    <row r="16" spans="1:7" ht="15.75">
      <c r="A16" s="184" t="s">
        <v>17</v>
      </c>
      <c r="B16" s="185">
        <f t="shared" si="1"/>
        <v>5.2459100033948394E-2</v>
      </c>
      <c r="C16" s="186">
        <f>-VLOOKUP(A16,'[1]pivot סופי'!A9:E33,2,0)/1000</f>
        <v>13366.5</v>
      </c>
      <c r="D16" s="186">
        <f>-VLOOKUP(A16,'[1]pivot סופי'!A9:E33,3,0)/1000</f>
        <v>6216.875</v>
      </c>
      <c r="E16" s="186">
        <f>-VLOOKUP(A16,'[1]pivot סופי'!A9:E33,4,0)/1000</f>
        <v>13780</v>
      </c>
      <c r="F16" s="185">
        <f t="shared" si="0"/>
        <v>5.1702465487584351E-2</v>
      </c>
      <c r="G16" s="187">
        <f>VLOOKUP(A16,'[1]pivot סופי'!$A$3:$F$27,6,0)/-1000</f>
        <v>14067</v>
      </c>
    </row>
    <row r="17" spans="1:7" ht="15.75">
      <c r="A17" s="184" t="s">
        <v>18</v>
      </c>
      <c r="B17" s="185">
        <f t="shared" si="1"/>
        <v>6.1656563912267925E-3</v>
      </c>
      <c r="C17" s="186">
        <f>-VLOOKUP(A17,'[1]pivot סופי'!A10:E34,2,0)/1000</f>
        <v>1571</v>
      </c>
      <c r="D17" s="186">
        <f>-VLOOKUP(A17,'[1]pivot סופי'!A10:E34,3,0)/1000</f>
        <v>1087.4739100000002</v>
      </c>
      <c r="E17" s="186">
        <f>-VLOOKUP(A17,'[1]pivot סופי'!A10:E34,4,0)/1000</f>
        <v>1629</v>
      </c>
      <c r="F17" s="185">
        <f t="shared" si="0"/>
        <v>7.8617739161116751E-3</v>
      </c>
      <c r="G17" s="187">
        <f>VLOOKUP(A17,'[1]pivot סופי'!$A$3:$F$27,6,0)/-1000</f>
        <v>2139</v>
      </c>
    </row>
    <row r="18" spans="1:7" ht="15.75">
      <c r="A18" s="184" t="s">
        <v>19</v>
      </c>
      <c r="B18" s="185">
        <f t="shared" si="1"/>
        <v>7.8493397724083928E-4</v>
      </c>
      <c r="C18" s="186">
        <f>-VLOOKUP(A18,'[1]pivot סופי'!A11:E35,2,0)/1000</f>
        <v>200</v>
      </c>
      <c r="D18" s="186">
        <f>-VLOOKUP(A18,'[1]pivot סופי'!A11:E35,3,0)/1000</f>
        <v>153.85400000000001</v>
      </c>
      <c r="E18" s="186">
        <f>-VLOOKUP(A18,'[1]pivot סופי'!A11:E35,4,0)/1000</f>
        <v>266</v>
      </c>
      <c r="F18" s="185">
        <f t="shared" si="0"/>
        <v>7.3508872520913272E-4</v>
      </c>
      <c r="G18" s="187">
        <f>VLOOKUP(A18,'[1]pivot סופי'!$A$3:$F$27,6,0)/-1000</f>
        <v>200</v>
      </c>
    </row>
    <row r="19" spans="1:7" ht="15.75">
      <c r="A19" s="184" t="s">
        <v>20</v>
      </c>
      <c r="B19" s="185">
        <f t="shared" si="1"/>
        <v>0.1178303639935086</v>
      </c>
      <c r="C19" s="186">
        <f>-VLOOKUP(A19,'[1]pivot סופי'!A12:E36,2,0)/1000</f>
        <v>30023</v>
      </c>
      <c r="D19" s="186">
        <f>-VLOOKUP(A19,'[1]pivot סופי'!A12:E36,3,0)/1000</f>
        <v>15247.986999999999</v>
      </c>
      <c r="E19" s="186">
        <f>-VLOOKUP(A19,'[1]pivot סופי'!A12:E36,4,0)/1000</f>
        <v>29343</v>
      </c>
      <c r="F19" s="185">
        <f t="shared" si="0"/>
        <v>0.10884826298534234</v>
      </c>
      <c r="G19" s="187">
        <f>VLOOKUP(A19,'[1]pivot סופי'!$A$3:$F$27,6,0)/-1000</f>
        <v>29615</v>
      </c>
    </row>
    <row r="20" spans="1:7" ht="18.75" thickBot="1">
      <c r="A20" s="188" t="s">
        <v>21</v>
      </c>
      <c r="B20" s="189">
        <f t="shared" si="1"/>
        <v>1</v>
      </c>
      <c r="C20" s="190">
        <f>SUM(C10:C19)</f>
        <v>254798.5</v>
      </c>
      <c r="D20" s="190">
        <f t="shared" ref="D20:E20" si="2">SUM(D10:D19)</f>
        <v>127907.41434</v>
      </c>
      <c r="E20" s="190">
        <f t="shared" si="2"/>
        <v>254279.67303450001</v>
      </c>
      <c r="F20" s="191">
        <f t="shared" si="0"/>
        <v>1</v>
      </c>
      <c r="G20" s="192">
        <f>SUM(G10:G19)</f>
        <v>272076</v>
      </c>
    </row>
    <row r="21" spans="1:7" ht="18">
      <c r="A21" s="193"/>
      <c r="B21" s="193"/>
      <c r="C21" s="194"/>
      <c r="D21" s="194"/>
      <c r="E21" s="194"/>
      <c r="F21" s="194"/>
      <c r="G21" s="195"/>
    </row>
    <row r="22" spans="1:7" ht="18">
      <c r="A22" s="193"/>
      <c r="B22" s="193"/>
      <c r="C22" s="194"/>
      <c r="D22" s="194"/>
      <c r="E22" s="194"/>
      <c r="F22" s="194"/>
      <c r="G22" s="195"/>
    </row>
    <row r="23" spans="1:7" ht="18.75" thickBot="1">
      <c r="A23" s="193"/>
      <c r="B23" s="193"/>
      <c r="C23" s="194"/>
      <c r="D23" s="194"/>
      <c r="E23" s="194"/>
      <c r="F23" s="194"/>
      <c r="G23" s="195"/>
    </row>
    <row r="24" spans="1:7" ht="19.5" thickBot="1">
      <c r="A24" s="196" t="s">
        <v>22</v>
      </c>
      <c r="B24" s="197" t="s">
        <v>6</v>
      </c>
      <c r="C24" s="197" t="s">
        <v>153</v>
      </c>
      <c r="D24" s="197" t="s">
        <v>8</v>
      </c>
      <c r="E24" s="197" t="s">
        <v>154</v>
      </c>
      <c r="F24" s="197" t="s">
        <v>6</v>
      </c>
      <c r="G24" s="198" t="s">
        <v>7</v>
      </c>
    </row>
    <row r="25" spans="1:7" ht="15.75">
      <c r="A25" s="199" t="s">
        <v>23</v>
      </c>
      <c r="B25" s="200">
        <f>C25/$C$35</f>
        <v>0.20322631159421145</v>
      </c>
      <c r="C25" s="201">
        <f>VLOOKUP(A25,'[1]pivot סופי'!A3:E27,2,0)/1000</f>
        <v>51781.8</v>
      </c>
      <c r="D25" s="201" t="e">
        <f>VLOOKUP(A25,'[1]pivot סופי'!A3:E27,3,0)/1000</f>
        <v>#N/A</v>
      </c>
      <c r="E25" s="201">
        <f>VLOOKUP(A25,'[1]pivot סופי'!A3:E27,4,0)/1000</f>
        <v>51616.275089999996</v>
      </c>
      <c r="F25" s="200">
        <f>G25/$G$35</f>
        <v>0.19828283273791147</v>
      </c>
      <c r="G25" s="202">
        <f>VLOOKUP(A25,'[1]pivot סופי'!$A$3:$F$27,6,0)/1000</f>
        <v>53948</v>
      </c>
    </row>
    <row r="26" spans="1:7" ht="15.75">
      <c r="A26" s="184" t="s">
        <v>24</v>
      </c>
      <c r="B26" s="185">
        <f>C26/$C$35</f>
        <v>0.17876268599486575</v>
      </c>
      <c r="C26" s="201">
        <f>VLOOKUP(A26,'[1]pivot סופי'!A4:E28,2,0)/1000</f>
        <v>45548.5</v>
      </c>
      <c r="D26" s="201">
        <f>VLOOKUP(A26,'[1]pivot סופי'!A4:E28,3,0)/1000</f>
        <v>21654.255169999993</v>
      </c>
      <c r="E26" s="201">
        <f>VLOOKUP(A26,'[1]pivot סופי'!A4:E28,4,0)/1000</f>
        <v>42849.280128363658</v>
      </c>
      <c r="F26" s="185">
        <f>G26/$G$35</f>
        <v>0.18687058027903969</v>
      </c>
      <c r="G26" s="202">
        <f>VLOOKUP(A26,'[1]pivot סופי'!$A$3:$F$27,6,0)/1000</f>
        <v>50843</v>
      </c>
    </row>
    <row r="27" spans="1:7" ht="15.75">
      <c r="A27" s="184" t="s">
        <v>25</v>
      </c>
      <c r="B27" s="185">
        <f t="shared" ref="B27:B35" si="3">C27/$C$35</f>
        <v>0.260143399475743</v>
      </c>
      <c r="C27" s="201">
        <f>VLOOKUP(A27,'[1]pivot סופי'!A5:E29,2,0)/1000</f>
        <v>66284.2</v>
      </c>
      <c r="D27" s="201">
        <f>VLOOKUP(A27,'[1]pivot סופי'!A5:E29,3,0)/1000</f>
        <v>34277.905809999997</v>
      </c>
      <c r="E27" s="201">
        <f>VLOOKUP(A27,'[1]pivot סופי'!A5:E29,4,0)/1000</f>
        <v>68322.268059999988</v>
      </c>
      <c r="F27" s="185">
        <f t="shared" ref="F27:F34" si="4">G27/$G$35</f>
        <v>0.26161072641467825</v>
      </c>
      <c r="G27" s="202">
        <f>VLOOKUP(A27,'[1]pivot סופי'!$A$3:$F$27,6,0)/1000</f>
        <v>71178</v>
      </c>
    </row>
    <row r="28" spans="1:7" ht="15.75">
      <c r="A28" s="184" t="s">
        <v>26</v>
      </c>
      <c r="B28" s="185">
        <f t="shared" si="3"/>
        <v>0.12680559202225131</v>
      </c>
      <c r="C28" s="201">
        <f>VLOOKUP(A28,'[1]pivot סופי'!A6:E30,2,0)/1000</f>
        <v>32309.9</v>
      </c>
      <c r="D28" s="201">
        <f>VLOOKUP(A28,'[1]pivot סופי'!A6:E30,3,0)/1000</f>
        <v>17869.257519999996</v>
      </c>
      <c r="E28" s="201">
        <f>VLOOKUP(A28,'[1]pivot סופי'!A6:E30,4,0)/1000</f>
        <v>32788.94450333334</v>
      </c>
      <c r="F28" s="185">
        <f t="shared" si="4"/>
        <v>0.12692777018186094</v>
      </c>
      <c r="G28" s="202">
        <f>VLOOKUP(A28,'[1]pivot סופי'!$A$3:$F$27,6,0)/1000</f>
        <v>34534</v>
      </c>
    </row>
    <row r="29" spans="1:7" ht="15.75">
      <c r="A29" s="184" t="s">
        <v>27</v>
      </c>
      <c r="B29" s="185">
        <f t="shared" si="3"/>
        <v>2.3130023818802845E-2</v>
      </c>
      <c r="C29" s="201">
        <f>VLOOKUP(A29,'[1]pivot סופי'!A7:E31,2,0)/1000</f>
        <v>5893.5</v>
      </c>
      <c r="D29" s="201">
        <f>VLOOKUP(A29,'[1]pivot סופי'!A7:E31,3,0)/1000</f>
        <v>3101.2098799999999</v>
      </c>
      <c r="E29" s="201">
        <f>VLOOKUP(A29,'[1]pivot סופי'!A7:E31,4,0)/1000</f>
        <v>6181.0654400000003</v>
      </c>
      <c r="F29" s="185">
        <f t="shared" si="4"/>
        <v>2.3666181508108029E-2</v>
      </c>
      <c r="G29" s="202">
        <f>VLOOKUP(A29,'[1]pivot סופי'!$A$3:$F$27,6,0)/1000</f>
        <v>6439</v>
      </c>
    </row>
    <row r="30" spans="1:7" ht="15.75">
      <c r="A30" s="184" t="s">
        <v>28</v>
      </c>
      <c r="B30" s="185">
        <f t="shared" si="3"/>
        <v>5.7792288579180354E-2</v>
      </c>
      <c r="C30" s="201">
        <f>VLOOKUP(A30,'[1]pivot סופי'!A8:E32,2,0)/1000-100.6</f>
        <v>14725.4</v>
      </c>
      <c r="D30" s="201">
        <f>VLOOKUP(A30,'[1]pivot סופי'!A8:E32,3,0)/1000</f>
        <v>8495.8370099999975</v>
      </c>
      <c r="E30" s="201">
        <f>VLOOKUP(A30,'[1]pivot סופי'!A8:E32,4,0)/1000</f>
        <v>16943.426811999998</v>
      </c>
      <c r="F30" s="185">
        <f t="shared" si="4"/>
        <v>6.0549258295476263E-2</v>
      </c>
      <c r="G30" s="202">
        <f>VLOOKUP(A30,'[1]pivot סופי'!$A$3:$F$27,6,0)/1000</f>
        <v>16474</v>
      </c>
    </row>
    <row r="31" spans="1:7" ht="15.75">
      <c r="A31" s="184" t="s">
        <v>29</v>
      </c>
      <c r="B31" s="185">
        <f t="shared" si="3"/>
        <v>2.7629654311423099E-2</v>
      </c>
      <c r="C31" s="201">
        <f>VLOOKUP(A31,'[1]pivot סופי'!A9:E33,2,0)/1000</f>
        <v>7040</v>
      </c>
      <c r="D31" s="201">
        <f>VLOOKUP(A31,'[1]pivot סופי'!A9:E33,3,0)/1000</f>
        <v>3472.5525900000002</v>
      </c>
      <c r="E31" s="201">
        <f>VLOOKUP(A31,'[1]pivot סופי'!A9:E33,4,0)/1000</f>
        <v>6949.5190000000002</v>
      </c>
      <c r="F31" s="185">
        <f t="shared" si="4"/>
        <v>2.865008306502595E-2</v>
      </c>
      <c r="G31" s="202">
        <f>VLOOKUP(A31,'[1]pivot סופי'!$A$3:$F$27,6,0)/1000</f>
        <v>7795</v>
      </c>
    </row>
    <row r="32" spans="1:7" ht="15.75">
      <c r="A32" s="184" t="s">
        <v>30</v>
      </c>
      <c r="B32" s="185">
        <f t="shared" si="3"/>
        <v>5.7394327365092529E-3</v>
      </c>
      <c r="C32" s="201">
        <f>VLOOKUP(A32,'[1]pivot סופי'!A3:E27,2,0)/1000</f>
        <v>1462.4</v>
      </c>
      <c r="D32" s="201">
        <f>VLOOKUP(A32,'[1]pivot סופי'!A3:E27,3,0)/1000</f>
        <v>826.64247</v>
      </c>
      <c r="E32" s="201">
        <f>VLOOKUP(A32,'[1]pivot סופי'!A3:E27,4,0)/1000</f>
        <v>1435.9667899999999</v>
      </c>
      <c r="F32" s="185">
        <f t="shared" si="4"/>
        <v>5.7667710492656466E-3</v>
      </c>
      <c r="G32" s="202">
        <f>VLOOKUP(A32,'[1]pivot סופי'!$A$3:$F$27,6,0)/1000</f>
        <v>1569</v>
      </c>
    </row>
    <row r="33" spans="1:7" ht="15.75">
      <c r="A33" s="203" t="s">
        <v>31</v>
      </c>
      <c r="B33" s="185">
        <f t="shared" si="3"/>
        <v>1.9623334027999359E-3</v>
      </c>
      <c r="C33" s="201">
        <f>VLOOKUP(A33,'[1]pivot סופי'!A4:E28,2,0)/1000</f>
        <v>500</v>
      </c>
      <c r="D33" s="201">
        <f>VLOOKUP(A33,'[1]pivot סופי'!A4:E28,3,0)/1000</f>
        <v>643.99300000000005</v>
      </c>
      <c r="E33" s="201">
        <f>VLOOKUP(A33,'[1]pivot סופי'!A4:E28,4,0)/1000</f>
        <v>746.77819999999997</v>
      </c>
      <c r="F33" s="185">
        <f t="shared" si="4"/>
        <v>1.8377218130228318E-3</v>
      </c>
      <c r="G33" s="202">
        <f>VLOOKUP(A33,'[1]pivot סופי'!$A$3:$F$27,6,0)/1000</f>
        <v>500</v>
      </c>
    </row>
    <row r="34" spans="1:7" ht="15.75">
      <c r="A34" s="203" t="s">
        <v>32</v>
      </c>
      <c r="B34" s="185">
        <f t="shared" si="3"/>
        <v>0.11480827806421305</v>
      </c>
      <c r="C34" s="201">
        <f>VLOOKUP(A34,'[1]pivot סופי'!A5:E29,2,0)/1000</f>
        <v>29253</v>
      </c>
      <c r="D34" s="201" t="e">
        <f>VLOOKUP(B34,'[1]pivot סופי'!B5:F29,2,0)/1000</f>
        <v>#N/A</v>
      </c>
      <c r="E34" s="201">
        <f>VLOOKUP(A34,'[1]pivot סופי'!A5:E15,4)/1000</f>
        <v>28373</v>
      </c>
      <c r="F34" s="185">
        <f t="shared" si="4"/>
        <v>0.10583807465561093</v>
      </c>
      <c r="G34" s="202">
        <f>VLOOKUP(A34,'[1]pivot סופי'!$A$3:$F$27,6,0)/1000</f>
        <v>28796</v>
      </c>
    </row>
    <row r="35" spans="1:7" ht="16.5" thickBot="1">
      <c r="A35" s="188" t="s">
        <v>33</v>
      </c>
      <c r="B35" s="189">
        <f t="shared" si="3"/>
        <v>1</v>
      </c>
      <c r="C35" s="204">
        <f>SUM(C25:C34)</f>
        <v>254798.69999999998</v>
      </c>
      <c r="D35" s="204" t="e">
        <f t="shared" ref="D35:F35" si="5">SUM(D25:D34)</f>
        <v>#N/A</v>
      </c>
      <c r="E35" s="204">
        <f t="shared" si="5"/>
        <v>256206.52402369695</v>
      </c>
      <c r="F35" s="205">
        <f t="shared" si="5"/>
        <v>1.0000000000000002</v>
      </c>
      <c r="G35" s="206">
        <f>SUM(G25:G34)</f>
        <v>272076</v>
      </c>
    </row>
    <row r="36" spans="1:7" ht="16.5" thickBot="1">
      <c r="A36" s="193"/>
      <c r="B36" s="193"/>
      <c r="C36" s="193"/>
      <c r="D36" s="193"/>
      <c r="E36" s="193"/>
      <c r="F36" s="193"/>
      <c r="G36" s="193"/>
    </row>
    <row r="37" spans="1:7" ht="16.5" thickBot="1">
      <c r="A37" s="207" t="s">
        <v>34</v>
      </c>
      <c r="B37" s="208"/>
      <c r="C37" s="209">
        <v>0</v>
      </c>
      <c r="D37" s="210" t="e">
        <f>D20-D35</f>
        <v>#N/A</v>
      </c>
      <c r="E37" s="211">
        <f>E20-E35</f>
        <v>-1926.8509891969443</v>
      </c>
      <c r="F37" s="212"/>
      <c r="G37" s="213">
        <f>G20-G35</f>
        <v>0</v>
      </c>
    </row>
    <row r="38" spans="1:7" ht="15.75">
      <c r="A38" s="193"/>
      <c r="B38" s="193"/>
      <c r="C38" s="193"/>
      <c r="D38" s="193"/>
      <c r="E38" s="193"/>
      <c r="F38" s="193"/>
      <c r="G38" s="193"/>
    </row>
    <row r="39" spans="1:7" ht="16.5" thickBot="1">
      <c r="A39" s="193"/>
      <c r="B39" s="193"/>
      <c r="C39" s="193"/>
      <c r="D39" s="193"/>
      <c r="E39" s="193"/>
      <c r="F39" s="193"/>
      <c r="G39" s="193"/>
    </row>
    <row r="40" spans="1:7" ht="15.75">
      <c r="A40" s="214" t="s">
        <v>35</v>
      </c>
      <c r="B40" s="215">
        <f>C40/C42</f>
        <v>0.48846206829155725</v>
      </c>
      <c r="C40" s="216">
        <f>C25+C27+C29+C33</f>
        <v>124459.5</v>
      </c>
      <c r="D40" s="216" t="e">
        <f>D25+D27+D29+D33</f>
        <v>#N/A</v>
      </c>
      <c r="E40" s="216">
        <f>E25+E27+E29+E33</f>
        <v>126866.38678999999</v>
      </c>
      <c r="F40" s="215">
        <f>G40/G42</f>
        <v>0.48539746247372056</v>
      </c>
      <c r="G40" s="217">
        <f>G25+G27+G29+G33</f>
        <v>132065</v>
      </c>
    </row>
    <row r="41" spans="1:7" ht="15.75">
      <c r="A41" s="218" t="s">
        <v>36</v>
      </c>
      <c r="B41" s="219"/>
      <c r="C41" s="219">
        <f>C42-C40</f>
        <v>130339.19999999998</v>
      </c>
      <c r="D41" s="219" t="e">
        <f>D42-D40</f>
        <v>#N/A</v>
      </c>
      <c r="E41" s="219">
        <f>E42-E40</f>
        <v>129340.13723369697</v>
      </c>
      <c r="F41" s="219"/>
      <c r="G41" s="220">
        <f>G42-G40</f>
        <v>140011</v>
      </c>
    </row>
    <row r="42" spans="1:7" ht="18.75" thickBot="1">
      <c r="A42" s="221" t="s">
        <v>37</v>
      </c>
      <c r="B42" s="222"/>
      <c r="C42" s="223">
        <f>C35</f>
        <v>254798.69999999998</v>
      </c>
      <c r="D42" s="223" t="e">
        <f>D35</f>
        <v>#N/A</v>
      </c>
      <c r="E42" s="223">
        <f>E35</f>
        <v>256206.52402369695</v>
      </c>
      <c r="F42" s="223"/>
      <c r="G42" s="224">
        <f>G35</f>
        <v>272076</v>
      </c>
    </row>
    <row r="43" spans="1:7" ht="15.75">
      <c r="A43" s="225"/>
      <c r="B43" s="225"/>
      <c r="C43" s="225"/>
      <c r="D43" s="225"/>
      <c r="E43" s="225"/>
      <c r="F43" s="225"/>
      <c r="G43" s="225"/>
    </row>
  </sheetData>
  <mergeCells count="5">
    <mergeCell ref="A2:G2"/>
    <mergeCell ref="A4:G5"/>
    <mergeCell ref="A6:G6"/>
    <mergeCell ref="B8:E8"/>
    <mergeCell ref="F8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rightToLeft="1" topLeftCell="A67" workbookViewId="0">
      <selection activeCell="G10" sqref="G10"/>
    </sheetView>
  </sheetViews>
  <sheetFormatPr defaultRowHeight="15"/>
  <cols>
    <col min="3" max="3" width="22.7109375" bestFit="1" customWidth="1"/>
    <col min="5" max="5" width="0" hidden="1" customWidth="1"/>
    <col min="6" max="6" width="11.140625" bestFit="1" customWidth="1"/>
    <col min="7" max="7" width="12" bestFit="1" customWidth="1"/>
  </cols>
  <sheetData>
    <row r="1" spans="1:7" ht="23.25">
      <c r="A1" s="177"/>
      <c r="B1" s="318" t="s">
        <v>38</v>
      </c>
      <c r="C1" s="318"/>
      <c r="D1" s="360"/>
      <c r="E1" s="360"/>
      <c r="F1" s="360"/>
      <c r="G1" s="360"/>
    </row>
    <row r="2" spans="1:7" ht="23.25">
      <c r="A2" s="177"/>
      <c r="B2" s="318" t="s">
        <v>155</v>
      </c>
      <c r="C2" s="318"/>
      <c r="D2" s="360"/>
      <c r="E2" s="360"/>
      <c r="F2" s="360"/>
      <c r="G2" s="360"/>
    </row>
    <row r="3" spans="1:7" ht="23.25">
      <c r="A3" s="177"/>
      <c r="B3" s="318" t="s">
        <v>40</v>
      </c>
      <c r="C3" s="318"/>
      <c r="D3" s="360"/>
      <c r="E3" s="360"/>
      <c r="F3" s="360"/>
      <c r="G3" s="360"/>
    </row>
    <row r="4" spans="1:7" ht="23.25">
      <c r="A4" s="177"/>
      <c r="B4" s="318" t="s">
        <v>41</v>
      </c>
      <c r="C4" s="318"/>
      <c r="D4" s="360"/>
      <c r="E4" s="360"/>
      <c r="F4" s="360"/>
      <c r="G4" s="360"/>
    </row>
    <row r="5" spans="1:7" ht="16.5" thickBot="1">
      <c r="A5" s="177"/>
      <c r="B5" s="226"/>
      <c r="C5" s="227"/>
      <c r="D5" s="227"/>
      <c r="E5" s="112"/>
      <c r="F5" s="112"/>
      <c r="G5" s="112"/>
    </row>
    <row r="6" spans="1:7" ht="15.75">
      <c r="A6" s="177"/>
      <c r="B6" s="361" t="s">
        <v>42</v>
      </c>
      <c r="C6" s="363" t="s">
        <v>43</v>
      </c>
      <c r="D6" s="359" t="s">
        <v>152</v>
      </c>
      <c r="E6" s="359"/>
      <c r="F6" s="359"/>
      <c r="G6" s="52" t="s">
        <v>3</v>
      </c>
    </row>
    <row r="7" spans="1:7" ht="16.5" thickBot="1">
      <c r="A7" s="177"/>
      <c r="B7" s="362"/>
      <c r="C7" s="364"/>
      <c r="D7" s="228" t="s">
        <v>44</v>
      </c>
      <c r="E7" s="229" t="s">
        <v>45</v>
      </c>
      <c r="F7" s="229" t="s">
        <v>156</v>
      </c>
      <c r="G7" s="230" t="s">
        <v>47</v>
      </c>
    </row>
    <row r="8" spans="1:7" ht="15.75">
      <c r="A8" s="177"/>
      <c r="B8" s="231">
        <v>1.111</v>
      </c>
      <c r="C8" s="232" t="s">
        <v>48</v>
      </c>
      <c r="D8" s="233">
        <f>-SUMIF('[1]pivot מיוחד '!$C$89:$C$152,C8,'[1]pivot מיוחד '!$D$89:$D$152)/1000</f>
        <v>100953</v>
      </c>
      <c r="E8" s="233">
        <f>-SUMIF('[1]pivot מיוחד '!$C$89:$C$152,D8,'[1]pivot מיוחד '!$D$89:$D$152)/1000</f>
        <v>0</v>
      </c>
      <c r="F8" s="233">
        <f>-SUMIF('[1]pivot מיוחד '!$C$89:$C$152,C8,'[1]pivot מיוחד '!$F$89:$F$152)/1000</f>
        <v>98700</v>
      </c>
      <c r="G8" s="234">
        <f>-SUMIF('[1]pivot מיוחד '!$C$89:$C$152,C8,'[1]pivot מיוחד '!$H$89:$H$152)/1000</f>
        <v>106409</v>
      </c>
    </row>
    <row r="9" spans="1:7" ht="16.5" thickBot="1">
      <c r="A9" s="177"/>
      <c r="B9" s="235">
        <v>1.1160000000000001</v>
      </c>
      <c r="C9" s="236" t="s">
        <v>49</v>
      </c>
      <c r="D9" s="237">
        <f>-SUMIF('[1]pivot מיוחד '!$C$89:$C$152,C9,'[1]pivot מיוחד '!$D$89:$D$152)/1000</f>
        <v>30023</v>
      </c>
      <c r="E9" s="237">
        <f>-SUMIF('[1]pivot מיוחד '!$C$89:$C$152,D9,'[1]pivot מיוחד '!$D$89:$D$152)/1000</f>
        <v>0</v>
      </c>
      <c r="F9" s="237">
        <f>-SUMIF('[1]pivot מיוחד '!$C$89:$C$152,C9,'[1]pivot מיוחד '!$F$89:$F$152)/1000</f>
        <v>29343</v>
      </c>
      <c r="G9" s="238">
        <f>-SUMIF('[1]pivot מיוחד '!$C$89:$C$152,C9,'[1]pivot מיוחד '!$H$89:$H$152)/1000</f>
        <v>29615</v>
      </c>
    </row>
    <row r="10" spans="1:7" ht="16.5" thickBot="1">
      <c r="A10" s="177"/>
      <c r="B10" s="239">
        <v>1.1000000000000001</v>
      </c>
      <c r="C10" s="240" t="s">
        <v>50</v>
      </c>
      <c r="D10" s="241">
        <f>SUM(D8:D9)</f>
        <v>130976</v>
      </c>
      <c r="E10" s="241">
        <f>SUM(E8:E9)</f>
        <v>0</v>
      </c>
      <c r="F10" s="241">
        <f>SUM(F8:F9)</f>
        <v>128043</v>
      </c>
      <c r="G10" s="242">
        <f>SUM(G8:G9)</f>
        <v>136024</v>
      </c>
    </row>
    <row r="11" spans="1:7" ht="15.75" thickBot="1">
      <c r="A11" s="177"/>
      <c r="B11" s="177"/>
      <c r="C11" s="177"/>
      <c r="D11" s="177"/>
      <c r="E11" s="177"/>
      <c r="F11" s="177"/>
      <c r="G11" s="177"/>
    </row>
    <row r="12" spans="1:7" ht="15.75">
      <c r="A12" s="177"/>
      <c r="B12" s="243">
        <v>1.1200000000000001</v>
      </c>
      <c r="C12" s="244" t="s">
        <v>51</v>
      </c>
      <c r="D12" s="245">
        <f>-SUMIF('[1]pivot מיוחד '!$C$89:$C$152,C12,'[1]pivot מיוחד '!$D$89:$D$152)/1000</f>
        <v>4151.3</v>
      </c>
      <c r="E12" s="245">
        <f>-SUMIF('[1]pivot מיוחד '!$C$89:$C$152,D12,'[1]pivot מיוחד '!$D$89:$D$152)/1000</f>
        <v>0</v>
      </c>
      <c r="F12" s="245">
        <f>-SUMIF('[1]pivot מיוחד '!$C$89:$C$152,C12,'[1]pivot מיוחד '!$F$89:$F$152)/1000</f>
        <v>2040</v>
      </c>
      <c r="G12" s="246">
        <f>-SUMIF('[1]pivot מיוחד '!$C$89:$C$152,C12,'[1]pivot מיוחד '!$H$89:$H$152)/1000</f>
        <v>4158</v>
      </c>
    </row>
    <row r="13" spans="1:7" ht="15.75">
      <c r="A13" s="177"/>
      <c r="B13" s="247">
        <v>1.1599999999999999</v>
      </c>
      <c r="C13" s="248" t="s">
        <v>52</v>
      </c>
      <c r="D13" s="249">
        <f>-SUMIF('[1]pivot מיוחד '!$C$89:$C$152,C13,'[1]pivot מיוחד '!$D$89:$D$152)/1000</f>
        <v>1900</v>
      </c>
      <c r="E13" s="249">
        <f>-SUMIF('[1]pivot מיוחד '!$C$89:$C$152,D13,'[1]pivot מיוחד '!$D$89:$D$152)/1000</f>
        <v>0</v>
      </c>
      <c r="F13" s="249">
        <f>-SUMIF('[1]pivot מיוחד '!$C$89:$C$152,C13,'[1]pivot מיוחד '!$F$89:$F$152)/1000</f>
        <v>1900</v>
      </c>
      <c r="G13" s="250">
        <f>-SUMIF('[1]pivot מיוחד '!$C$89:$C$152,C13,'[1]pivot מיוחד '!$H$89:$H$152)/1000</f>
        <v>1900</v>
      </c>
    </row>
    <row r="14" spans="1:7" ht="16.5" thickBot="1">
      <c r="A14" s="177"/>
      <c r="B14" s="251">
        <v>1.1990000000000001</v>
      </c>
      <c r="C14" s="252" t="s">
        <v>53</v>
      </c>
      <c r="D14" s="237">
        <f>-SUMIF('[1]pivot מיוחד '!$C$138:$C$154,C14,'[1]pivot מיוחד '!$D$138:$D$154)/1000</f>
        <v>200</v>
      </c>
      <c r="E14" s="237">
        <f>-SUMIF('[1]pivot מיוחד '!$C$138:$C$154,D14,'[1]pivot מיוחד '!$D$138:$D$154)/1000</f>
        <v>0</v>
      </c>
      <c r="F14" s="237">
        <f>-SUMIF('[1]pivot מיוחד '!$C$138:$C$154,C14,'[1]pivot מיוחד '!$F$138:$F$154)/1000</f>
        <v>266</v>
      </c>
      <c r="G14" s="238">
        <f>-SUMIF('[1]pivot מיוחד '!$C$138:$C$154,C14,'[1]pivot מיוחד '!$H$138:$H$154)/1000</f>
        <v>200</v>
      </c>
    </row>
    <row r="15" spans="1:7" ht="16.5" thickBot="1">
      <c r="A15" s="177"/>
      <c r="B15" s="253">
        <v>1.1000000000000001</v>
      </c>
      <c r="C15" s="254" t="s">
        <v>54</v>
      </c>
      <c r="D15" s="241">
        <f>SUM(D12:D14)</f>
        <v>6251.3</v>
      </c>
      <c r="E15" s="241">
        <f>SUM(E12:E14)</f>
        <v>0</v>
      </c>
      <c r="F15" s="241">
        <f>SUM(F12:F14)</f>
        <v>4206</v>
      </c>
      <c r="G15" s="242">
        <f>SUM(G12:G14)</f>
        <v>6258</v>
      </c>
    </row>
    <row r="16" spans="1:7" ht="16.5" thickBot="1">
      <c r="A16" s="177"/>
      <c r="B16" s="352"/>
      <c r="C16" s="352"/>
      <c r="D16" s="352"/>
      <c r="E16" s="352"/>
      <c r="F16" s="352"/>
      <c r="G16" s="352"/>
    </row>
    <row r="17" spans="1:7" ht="15.75">
      <c r="A17" s="177"/>
      <c r="B17" s="255">
        <v>1.21</v>
      </c>
      <c r="C17" s="244" t="s">
        <v>55</v>
      </c>
      <c r="D17" s="245">
        <f>-SUMIF('[1]pivot מיוחד '!$C$135:$C$152,C17,'[1]pivot מיוחד '!$D$135:$D$152)/1000+200+50</f>
        <v>702</v>
      </c>
      <c r="E17" s="245">
        <f>-SUMIF('[1]pivot מיוחד '!$C$135:$C$152,D17,'[1]pivot מיוחד '!$D$135:$D$152)/1000+200+50</f>
        <v>250</v>
      </c>
      <c r="F17" s="245">
        <f>-SUMIF('[1]pivot מיוחד '!$C$135:$C$152,C17,'[1]pivot מיוחד '!$F$135:$F$152)/1000+131</f>
        <v>234</v>
      </c>
      <c r="G17" s="246">
        <f>-SUMIF('[1]pivot מיוחד '!$C$135:$C$152,C17,'[1]pivot מיוחד '!$H$135:$H$152)/1000+485</f>
        <v>840</v>
      </c>
    </row>
    <row r="18" spans="1:7" ht="15.75">
      <c r="A18" s="177"/>
      <c r="B18" s="256">
        <v>1.22</v>
      </c>
      <c r="C18" s="248" t="s">
        <v>56</v>
      </c>
      <c r="D18" s="249">
        <f>-SUMIF('[1]pivot מיוחד '!$C$90:$C$96,C18,'[1]pivot מיוחד '!$D$90:$D$96)/1000+2</f>
        <v>12</v>
      </c>
      <c r="E18" s="249">
        <f>SUMIF('[1]pivot מיוחד '!$C$90:$C$96,D18,'[1]pivot מיוחד '!$D$90:$D$96)/1000</f>
        <v>0</v>
      </c>
      <c r="F18" s="249">
        <f>-SUMIF('[1]pivot מיוחד '!$C$90:$C$96,C18,'[1]pivot מיוחד '!$F$90:$F$96)/1000+3</f>
        <v>8</v>
      </c>
      <c r="G18" s="250">
        <f>-SUMIF('[1]pivot מיוחד '!$C$90:$C$96,C18,'[1]pivot מיוחד '!$H$90:$H$96)/1000+2</f>
        <v>12</v>
      </c>
    </row>
    <row r="19" spans="1:7" ht="15.75">
      <c r="A19" s="177"/>
      <c r="B19" s="256">
        <v>1.23</v>
      </c>
      <c r="C19" s="248" t="s">
        <v>57</v>
      </c>
      <c r="D19" s="249">
        <f>-SUMIF('[1]pivot מיוחד '!$C$89:$C$152,C19,'[1]pivot מיוחד '!$D$89:$D$152)/1000</f>
        <v>11314</v>
      </c>
      <c r="E19" s="249">
        <f>-SUMIF('[1]pivot מיוחד '!$C$89:$C$152,D19,'[1]pivot מיוחד '!$D$89:$D$152)/1000</f>
        <v>0</v>
      </c>
      <c r="F19" s="249">
        <f>-SUMIF('[1]pivot מיוחד '!$C$89:$C$152,C19,'[1]pivot מיוחד '!$F$89:$F$152)/1000</f>
        <v>12220.455594500001</v>
      </c>
      <c r="G19" s="250">
        <f>-SUMIF('[1]pivot מיוחד '!$C$89:$C$152,C19,'[1]pivot מיוחד '!$H$89:$H$152)/1000</f>
        <v>14854</v>
      </c>
    </row>
    <row r="20" spans="1:7" ht="15.75">
      <c r="A20" s="177"/>
      <c r="B20" s="256">
        <v>1.24</v>
      </c>
      <c r="C20" s="248" t="s">
        <v>58</v>
      </c>
      <c r="D20" s="249">
        <f>-SUMIF('[1]pivot מיוחד '!$C$135:$C$152,C20,'[1]pivot מיוחד '!$D$135:$D$152)/1000+150</f>
        <v>1082</v>
      </c>
      <c r="E20" s="249">
        <f>-SUMIF('[1]pivot מיוחד '!$C$135:$C$152,D20,'[1]pivot מיוחד '!$D$135:$D$152)/1000</f>
        <v>0</v>
      </c>
      <c r="F20" s="249">
        <f>-SUMIF('[1]pivot מיוחד '!$C$135:$C$152,C20,'[1]pivot מיוחד '!$F$135:$F$152)/1000+150</f>
        <v>1082</v>
      </c>
      <c r="G20" s="250">
        <f>-SUMIF('[1]pivot מיוחד '!$C$135:$C$152,C20,'[1]pivot מיוחד '!$H$135:$H$152)/1000+150</f>
        <v>1082</v>
      </c>
    </row>
    <row r="21" spans="1:7" ht="15.75">
      <c r="A21" s="177"/>
      <c r="B21" s="256">
        <v>1.26</v>
      </c>
      <c r="C21" s="248" t="s">
        <v>59</v>
      </c>
      <c r="D21" s="249">
        <f>-SUMIF('[1]pivot מיוחד '!$C$89:$C$152,C21,'[1]pivot מיוחד '!$D$89:$D$152)/1000</f>
        <v>5711</v>
      </c>
      <c r="E21" s="249">
        <f>-SUMIF('[1]pivot מיוחד '!$C$89:$C$152,D21,'[1]pivot מיוחד '!$D$89:$D$152)/1000</f>
        <v>0</v>
      </c>
      <c r="F21" s="249">
        <f>-SUMIF('[1]pivot מיוחד '!$C$89:$C$152,C21,'[1]pivot מיוחד '!$F$89:$F$152)/1000</f>
        <v>5839</v>
      </c>
      <c r="G21" s="250">
        <f>-SUMIF('[1]pivot מיוחד '!$C$89:$C$152,C21,'[1]pivot מיוחד '!$H$89:$H$152)/1000</f>
        <v>6371</v>
      </c>
    </row>
    <row r="22" spans="1:7" ht="15.75">
      <c r="A22" s="177"/>
      <c r="B22" s="256">
        <v>1.26</v>
      </c>
      <c r="C22" s="248" t="s">
        <v>60</v>
      </c>
      <c r="D22" s="249">
        <f>-SUMIF('[1]pivot מיוחד '!$C$89:$C$152,C22,'[1]pivot מיוחד '!$D$89:$D$152)/1000</f>
        <v>870</v>
      </c>
      <c r="E22" s="249">
        <f>-SUMIF('[1]pivot מיוחד '!$C$89:$C$152,D22,'[1]pivot מיוחד '!$D$89:$D$152)/1000</f>
        <v>0</v>
      </c>
      <c r="F22" s="249">
        <f>-SUMIF('[1]pivot מיוחד '!$C$89:$C$152,C22,'[1]pivot מיוחד '!$F$89:$F$152)/1000</f>
        <v>455</v>
      </c>
      <c r="G22" s="250">
        <f>-SUMIF('[1]pivot מיוחד '!$C$89:$C$152,C22,'[1]pivot מיוחד '!$H$89:$H$152)/1000</f>
        <v>612</v>
      </c>
    </row>
    <row r="23" spans="1:7" ht="16.5" thickBot="1">
      <c r="A23" s="177"/>
      <c r="B23" s="257">
        <v>1.28</v>
      </c>
      <c r="C23" s="258" t="s">
        <v>62</v>
      </c>
      <c r="D23" s="259">
        <f>-SUMIF('[1]pivot מיוחד '!$C$89:$C$152,C23,'[1]pivot מיוחד '!$D$89:$D$152)/1000</f>
        <v>3150</v>
      </c>
      <c r="E23" s="259">
        <f>-SUMIF('[1]pivot מיוחד '!$C$89:$C$152,D23,'[1]pivot מיוחד '!$D$89:$D$152)/1000</f>
        <v>0</v>
      </c>
      <c r="F23" s="259">
        <f>-SUMIF('[1]pivot מיוחד '!$C$89:$C$152,C23,'[1]pivot מיוחד '!$F$89:$F$152)/1000</f>
        <v>3316</v>
      </c>
      <c r="G23" s="260">
        <f>-SUMIF('[1]pivot מיוחד '!$C$89:$C$152,C23,'[1]pivot מיוחד '!$H$89:$H$152)/1000</f>
        <v>3904</v>
      </c>
    </row>
    <row r="24" spans="1:7" ht="16.5" thickBot="1">
      <c r="A24" s="177"/>
      <c r="B24" s="261">
        <v>1.2</v>
      </c>
      <c r="C24" s="262" t="s">
        <v>63</v>
      </c>
      <c r="D24" s="263">
        <f>SUM(D17:D23)</f>
        <v>22841</v>
      </c>
      <c r="E24" s="263">
        <f>SUM(E17:E23)</f>
        <v>250</v>
      </c>
      <c r="F24" s="263">
        <f>SUM(F17:F23)</f>
        <v>23154.455594500003</v>
      </c>
      <c r="G24" s="264">
        <f>SUM(G17:G23)</f>
        <v>27675</v>
      </c>
    </row>
    <row r="25" spans="1:7" ht="16.5" thickBot="1">
      <c r="A25" s="177"/>
      <c r="B25" s="352"/>
      <c r="C25" s="352"/>
      <c r="D25" s="352"/>
      <c r="E25" s="352"/>
      <c r="F25" s="352"/>
      <c r="G25" s="352"/>
    </row>
    <row r="26" spans="1:7" ht="15.75">
      <c r="A26" s="177"/>
      <c r="B26" s="265">
        <v>1.3120000000000001</v>
      </c>
      <c r="C26" s="244" t="s">
        <v>64</v>
      </c>
      <c r="D26" s="245">
        <f>-SUMIF('[1]pivot מיוחד '!$C$97:$C$109,C26,'[1]pivot מיוחד '!$D$97:$D$109)/1000+1768</f>
        <v>22239.7</v>
      </c>
      <c r="E26" s="245">
        <f>-SUMIF('[1]pivot מיוחד '!$C$97:$C$109,D26,'[1]pivot מיוחד '!$D$97:$D$109)/1000</f>
        <v>0</v>
      </c>
      <c r="F26" s="245">
        <f>-SUMIF('[1]pivot מיוחד '!$C$97:$C$109,C26,'[1]pivot מיוחד '!$F$97:$F$109)/1000+1563-1</f>
        <v>22768.883030000001</v>
      </c>
      <c r="G26" s="246">
        <f>-SUMIF('[1]pivot מיוחד '!$C$97:$C$109,C26,'[1]pivot מיוחד '!$H$97:$H$109)/1000+702+2043</f>
        <v>24075</v>
      </c>
    </row>
    <row r="27" spans="1:7" ht="15.75">
      <c r="A27" s="177"/>
      <c r="B27" s="266">
        <v>1.3131999999999999</v>
      </c>
      <c r="C27" s="248" t="s">
        <v>65</v>
      </c>
      <c r="D27" s="249">
        <f>-SUMIF('[1]pivot מיוחד '!$C$97:$C$109,C27,'[1]pivot מיוחד '!$D$97:$D$109)/1000+916</f>
        <v>7209.6</v>
      </c>
      <c r="E27" s="249">
        <f>-SUMIF('[1]pivot מיוחד '!$C$97:$C$109,D27,'[1]pivot מיוחד '!$D$97:$D$109)/1000</f>
        <v>0</v>
      </c>
      <c r="F27" s="249">
        <f>-SUMIF('[1]pivot מיוחד '!$C$97:$C$109,C27,'[1]pivot מיוחד '!$F$97:$F$109)/1000+885+112</f>
        <v>7120.2439700000004</v>
      </c>
      <c r="G27" s="250">
        <f>-SUMIF('[1]pivot מיוחד '!$C$97:$C$109,C27,'[1]pivot מיוחד '!$H$97:$H$109)/1000+742+317</f>
        <v>7096</v>
      </c>
    </row>
    <row r="28" spans="1:7" ht="15.75">
      <c r="A28" s="177"/>
      <c r="B28" s="266">
        <v>1.3132999999999999</v>
      </c>
      <c r="C28" s="248" t="s">
        <v>66</v>
      </c>
      <c r="D28" s="249">
        <f>-SUMIF('[1]pivot מיוחד '!$C$97:$C$109,C28,'[1]pivot מיוחד '!$D$97:$D$109)/1000+720</f>
        <v>3559.2</v>
      </c>
      <c r="E28" s="249">
        <f>-SUMIF('[1]pivot מיוחד '!$C$97:$C$109,D28,'[1]pivot מיוחד '!$D$97:$D$109)/1000</f>
        <v>0</v>
      </c>
      <c r="F28" s="249">
        <f>-SUMIF('[1]pivot מיוחד '!$C$97:$C$109,C28,'[1]pivot מיוחד '!$F$97:$F$109)/1000+815</f>
        <v>3767.12444</v>
      </c>
      <c r="G28" s="250">
        <f>-SUMIF('[1]pivot מיוחד '!$C$97:$C$109,C28,'[1]pivot מיוחד '!$H$97:$H$109)/1000+740</f>
        <v>4217</v>
      </c>
    </row>
    <row r="29" spans="1:7" ht="15.75">
      <c r="A29" s="177"/>
      <c r="B29" s="267">
        <v>1.3140000000000001</v>
      </c>
      <c r="C29" s="248" t="s">
        <v>67</v>
      </c>
      <c r="D29" s="249">
        <f>-SUMIF('[1]pivot מיוחד '!$C$97:$C$109,C29,'[1]pivot מיוחד '!$D$97:$D$109)/1000+39</f>
        <v>3688.1</v>
      </c>
      <c r="E29" s="249">
        <f>-SUMIF('[1]pivot מיוחד '!$C$97:$C$109,D29,'[1]pivot מיוחד '!$D$97:$D$109)/1000</f>
        <v>0</v>
      </c>
      <c r="F29" s="249">
        <f>-SUMIF('[1]pivot מיוחד '!$C$97:$C$109,C29,'[1]pivot מיוחד '!$F$97:$F$109)/1000+39</f>
        <v>3791.2224900000001</v>
      </c>
      <c r="G29" s="250">
        <f>-SUMIF('[1]pivot מיוחד '!$C$97:$C$109,C29,'[1]pivot מיוחד '!$H$97:$H$109)/1000+15</f>
        <v>3765</v>
      </c>
    </row>
    <row r="30" spans="1:7" ht="15.75">
      <c r="A30" s="177"/>
      <c r="B30" s="266">
        <v>1.3151999999999999</v>
      </c>
      <c r="C30" s="248" t="s">
        <v>68</v>
      </c>
      <c r="D30" s="249">
        <f>-SUMIF('[1]pivot מיוחד '!$C$97:$C$109,C30,'[1]pivot מיוחד '!$D$97:$D$109)/1000+1080</f>
        <v>34130</v>
      </c>
      <c r="E30" s="249">
        <f>-SUMIF('[1]pivot מיוחד '!$C$97:$C$109,D30,'[1]pivot מיוחד '!$D$97:$D$109)/1000</f>
        <v>0</v>
      </c>
      <c r="F30" s="249">
        <f>-SUMIF('[1]pivot מיוחד '!$C$97:$C$109,C30,'[1]pivot מיוחד '!$F$97:$F$109)/1000+1025</f>
        <v>37001.833350000001</v>
      </c>
      <c r="G30" s="250">
        <f>-SUMIF('[1]pivot מיוחד '!$C$97:$C$109,C30,'[1]pivot מיוחד '!$H$97:$H$109)/1000+850</f>
        <v>37650</v>
      </c>
    </row>
    <row r="31" spans="1:7" ht="15.75">
      <c r="A31" s="177"/>
      <c r="B31" s="266">
        <v>1.3157000000000001</v>
      </c>
      <c r="C31" s="248" t="s">
        <v>69</v>
      </c>
      <c r="D31" s="249">
        <f>-SUMIF('[1]pivot מיוחד '!$C$97:$C$109,C31,'[1]pivot מיוחד '!$D$97:$D$109)/1000</f>
        <v>480</v>
      </c>
      <c r="E31" s="249">
        <f>-SUMIF('[1]pivot מיוחד '!$C$97:$C$109,D31,'[1]pivot מיוחד '!$D$97:$D$109)/1000</f>
        <v>0</v>
      </c>
      <c r="F31" s="249">
        <f>-SUMIF('[1]pivot מיוחד '!$C$97:$C$109,C31,'[1]pivot מיוחד '!$F$97:$F$109)/1000</f>
        <v>433.20433000000003</v>
      </c>
      <c r="G31" s="250">
        <f>-SUMIF('[1]pivot מיוחד '!$C$97:$C$109,C31,'[1]pivot מיוחד '!$H$97:$H$109)/1000</f>
        <v>440</v>
      </c>
    </row>
    <row r="32" spans="1:7" ht="15.75">
      <c r="A32" s="177"/>
      <c r="B32" s="267">
        <v>1.3160000000000001</v>
      </c>
      <c r="C32" s="248" t="s">
        <v>157</v>
      </c>
      <c r="D32" s="249">
        <f>-SUMIF('[1]pivot מיוחד '!$C$97:$C$109,C32,'[1]pivot מיוחד '!$D$97:$D$109)/1000+1</f>
        <v>1</v>
      </c>
      <c r="E32" s="249">
        <f>-SUMIF('[1]pivot מיוחד '!$C$97:$C$109,D32,'[1]pivot מיוחד '!$D$97:$D$109)/1000</f>
        <v>0</v>
      </c>
      <c r="F32" s="249">
        <f>-SUMIF('[1]pivot מיוחד '!$C$97:$C$109,C32,'[1]pivot מיוחד '!$F$97:$F$109)/1000</f>
        <v>0</v>
      </c>
      <c r="G32" s="250">
        <f>-SUMIF('[1]pivot מיוחד '!$C$97:$C$109,C32,'[1]pivot מיוחד '!$H$97:$H$109)/1000</f>
        <v>0</v>
      </c>
    </row>
    <row r="33" spans="1:7" ht="15.75">
      <c r="A33" s="177"/>
      <c r="B33" s="266">
        <v>1.3170999999999999</v>
      </c>
      <c r="C33" s="248" t="s">
        <v>71</v>
      </c>
      <c r="D33" s="249">
        <f>-SUMIF('[1]pivot מיוחד '!$C$97:$C$109,C33,'[1]pivot מיוחד '!$D$97:$D$109)/1000+880</f>
        <v>998.1</v>
      </c>
      <c r="E33" s="249">
        <f>-SUMIF('[1]pivot מיוחד '!$C$97:$C$109,D33,'[1]pivot מיוחד '!$D$97:$D$109)/1000</f>
        <v>0</v>
      </c>
      <c r="F33" s="249">
        <f>-SUMIF('[1]pivot מיוחד '!$C$97:$C$109,C33,'[1]pivot מיוחד '!$F$97:$F$109)/1000+1080</f>
        <v>1191.6670200000001</v>
      </c>
      <c r="G33" s="250">
        <f>-SUMIF('[1]pivot מיוחד '!$C$97:$C$109,C33,'[1]pivot מיוחד '!$H$97:$H$109)/1000+1080</f>
        <v>1188</v>
      </c>
    </row>
    <row r="34" spans="1:7" ht="15.75">
      <c r="A34" s="177"/>
      <c r="B34" s="266">
        <v>1.3172999999999999</v>
      </c>
      <c r="C34" s="248" t="s">
        <v>72</v>
      </c>
      <c r="D34" s="249">
        <f>-SUMIF('[1]pivot מיוחד '!$C$97:$C$109,C34,'[1]pivot מיוחד '!$D$97:$D$109)/1000</f>
        <v>1658.4</v>
      </c>
      <c r="E34" s="249">
        <f>-SUMIF('[1]pivot מיוחד '!$C$97:$C$109,D34,'[1]pivot מיוחד '!$D$97:$D$109)/1000</f>
        <v>0</v>
      </c>
      <c r="F34" s="249">
        <f>-SUMIF('[1]pivot מיוחד '!$C$97:$C$109,C34,'[1]pivot מיוחד '!$F$97:$F$109)/1000</f>
        <v>1997.9931999999999</v>
      </c>
      <c r="G34" s="250">
        <f>-SUMIF('[1]pivot מיוחד '!$C$97:$C$109,C34,'[1]pivot מיוחד '!$H$97:$H$109)/1000</f>
        <v>1900</v>
      </c>
    </row>
    <row r="35" spans="1:7" ht="15.75">
      <c r="A35" s="177"/>
      <c r="B35" s="266">
        <v>1.3172999999999999</v>
      </c>
      <c r="C35" s="248" t="s">
        <v>73</v>
      </c>
      <c r="D35" s="249">
        <f>-SUMIF('[1]pivot מיוחד '!$C$97:$C$109,C35,'[1]pivot מיוחד '!$D$97:$D$109)/1000+40</f>
        <v>40</v>
      </c>
      <c r="E35" s="249">
        <f>-SUMIF('[1]pivot מיוחד '!$C$97:$C$109,D35,'[1]pivot מיוחד '!$D$97:$D$109)/1000</f>
        <v>0</v>
      </c>
      <c r="F35" s="249">
        <f>-SUMIF('[1]pivot מיוחד '!$C$97:$C$109,C35,'[1]pivot מיוחד '!$F$97:$F$109)/1000+63</f>
        <v>63</v>
      </c>
      <c r="G35" s="250">
        <f>-SUMIF('[1]pivot מיוחד '!$C$97:$C$109,C35,'[1]pivot מיוחד '!$H$97:$H$109)/1000+40</f>
        <v>40</v>
      </c>
    </row>
    <row r="36" spans="1:7" ht="15.75">
      <c r="A36" s="177"/>
      <c r="B36" s="266">
        <v>1.3173999999999999</v>
      </c>
      <c r="C36" s="248" t="s">
        <v>74</v>
      </c>
      <c r="D36" s="249">
        <f>-SUMIF('[1]pivot מיוחד '!$C$89:$C$152,C36,'[1]pivot מיוחד '!$D$89:$D$152)/1000</f>
        <v>261</v>
      </c>
      <c r="E36" s="249">
        <f>SUMIF('[1]pivot מיוחד '!$C$89:$C$152,D36,'[1]pivot מיוחד '!$D$89:$D$152)/1000</f>
        <v>0</v>
      </c>
      <c r="F36" s="249">
        <f>-SUMIF('[1]pivot מיוחד '!$C$89:$C$152,C36,'[1]pivot מיוחד '!$F$89:$F$152)/1000</f>
        <v>200</v>
      </c>
      <c r="G36" s="250">
        <f>-SUMIF('[1]pivot מיוחד '!$C$89:$C$152,C36,'[1]pivot מיוחד '!$H$89:$H$152)/1000</f>
        <v>326</v>
      </c>
    </row>
    <row r="37" spans="1:7" ht="15.75">
      <c r="A37" s="177"/>
      <c r="B37" s="266">
        <v>1.31741</v>
      </c>
      <c r="C37" s="248" t="s">
        <v>75</v>
      </c>
      <c r="D37" s="249">
        <f>-SUMIF('[1]pivot מיוחד '!$C$89:$C$152,C37,'[1]pivot מיוחד '!$D$89:$D$152)/1000</f>
        <v>50</v>
      </c>
      <c r="E37" s="249">
        <f>SUMIF('[1]pivot מיוחד '!$C$89:$C$152,D37,'[1]pivot מיוחד '!$D$89:$D$152)/1000</f>
        <v>0</v>
      </c>
      <c r="F37" s="249">
        <f>-SUMIF('[1]pivot מיוחד '!$C$89:$C$152,C37,'[1]pivot מיוחד '!$F$89:$F$152)/1000</f>
        <v>50</v>
      </c>
      <c r="G37" s="250">
        <f>-SUMIF('[1]pivot מיוחד '!$C$89:$C$152,C37,'[1]pivot מיוחד '!$H$89:$H$152)/1000</f>
        <v>68</v>
      </c>
    </row>
    <row r="38" spans="1:7" ht="15.75">
      <c r="A38" s="177"/>
      <c r="B38" s="266">
        <v>1.3176000000000001</v>
      </c>
      <c r="C38" s="248" t="s">
        <v>76</v>
      </c>
      <c r="D38" s="249">
        <f>-SUMIF('[1]pivot מיוחד '!$C$97:$C$109,C38,'[1]pivot מיוחד '!$D$97:$D$109)/1000</f>
        <v>26.5</v>
      </c>
      <c r="E38" s="249">
        <f>-SUMIF('[1]pivot מיוחד '!$C$97:$C$109,D38,'[1]pivot מיוחד '!$D$97:$D$109)/1000</f>
        <v>0</v>
      </c>
      <c r="F38" s="249">
        <f>-SUMIF('[1]pivot מיוחד '!$C$97:$C$109,C38,'[1]pivot מיוחד '!$F$97:$F$109)/1000</f>
        <v>52.978279999999998</v>
      </c>
      <c r="G38" s="250">
        <f>-SUMIF('[1]pivot מיוחד '!$C$97:$C$109,C38,'[1]pivot מיוחד '!$H$97:$H$109)/1000</f>
        <v>52</v>
      </c>
    </row>
    <row r="39" spans="1:7" ht="15.75">
      <c r="A39" s="177"/>
      <c r="B39" s="266">
        <v>1.3177000000000001</v>
      </c>
      <c r="C39" s="248" t="s">
        <v>77</v>
      </c>
      <c r="D39" s="249">
        <f>-SUMIF('[1]pivot מיוחד '!$C$97:$C$109,C39,'[1]pivot מיוחד '!$D$97:$D$109)/1000</f>
        <v>211.5</v>
      </c>
      <c r="E39" s="249">
        <f>-SUMIF('[1]pivot מיוחד '!$C$97:$C$109,D39,'[1]pivot מיוחד '!$D$97:$D$109)/1000</f>
        <v>0</v>
      </c>
      <c r="F39" s="249">
        <f>-SUMIF('[1]pivot מיוחד '!$C$97:$C$109,C39,'[1]pivot מיוחד '!$F$97:$F$109)/1000-1</f>
        <v>188.02825000000001</v>
      </c>
      <c r="G39" s="250">
        <f>-SUMIF('[1]pivot מיוחד '!$C$97:$C$109,C39,'[1]pivot מיוחד '!$H$97:$H$109)/1000</f>
        <v>189</v>
      </c>
    </row>
    <row r="40" spans="1:7" ht="16.5" thickBot="1">
      <c r="A40" s="177"/>
      <c r="B40" s="268">
        <v>1.3178000000000001</v>
      </c>
      <c r="C40" s="258" t="s">
        <v>78</v>
      </c>
      <c r="D40" s="259">
        <f>-SUMIF('[1]pivot מיוחד '!$C$97:$C$109,C40,'[1]pivot מיוחד '!$D$97:$D$109)/1000+5</f>
        <v>1483.7</v>
      </c>
      <c r="E40" s="259">
        <f>-SUMIF('[1]pivot מיוחד '!$C$97:$C$109,D40,'[1]pivot מיוחד '!$D$97:$D$109)/1000</f>
        <v>0</v>
      </c>
      <c r="F40" s="259">
        <f>-SUMIF('[1]pivot מיוחד '!$C$97:$C$109,C40,'[1]pivot מיוחד '!$F$97:$F$109)/1000+13</f>
        <v>2212.9974099999999</v>
      </c>
      <c r="G40" s="260">
        <f>-SUMIF('[1]pivot מיוחד '!$C$97:$C$109,C40,'[1]pivot מיוחד '!$H$97:$H$109)/1000+58</f>
        <v>1852</v>
      </c>
    </row>
    <row r="41" spans="1:7" ht="16.5" thickBot="1">
      <c r="A41" s="177"/>
      <c r="B41" s="269">
        <v>1.31</v>
      </c>
      <c r="C41" s="262" t="s">
        <v>79</v>
      </c>
      <c r="D41" s="263">
        <f>SUM(D26:D40)</f>
        <v>76036.800000000003</v>
      </c>
      <c r="E41" s="263">
        <f>SUM(E26:E40)</f>
        <v>0</v>
      </c>
      <c r="F41" s="263">
        <f>SUM(F26:F40)</f>
        <v>80839.175769999987</v>
      </c>
      <c r="G41" s="264">
        <f>SUM(G26:G40)</f>
        <v>82858</v>
      </c>
    </row>
    <row r="42" spans="1:7" ht="15.75">
      <c r="A42" s="177"/>
      <c r="B42" s="270"/>
      <c r="C42" s="271"/>
      <c r="D42" s="271"/>
      <c r="E42" s="112"/>
      <c r="F42" s="112"/>
      <c r="G42" s="112"/>
    </row>
    <row r="43" spans="1:7" ht="15.75">
      <c r="A43" s="177"/>
      <c r="B43" s="272" t="s">
        <v>80</v>
      </c>
      <c r="C43" s="271"/>
      <c r="D43" s="271"/>
      <c r="E43" s="273"/>
      <c r="F43" s="273"/>
      <c r="G43" s="273"/>
    </row>
    <row r="44" spans="1:7" ht="16.5" thickBot="1">
      <c r="A44" s="177"/>
      <c r="B44" s="270"/>
      <c r="C44" s="271"/>
      <c r="D44" s="271"/>
      <c r="E44" s="273"/>
      <c r="F44" s="273"/>
      <c r="G44" s="273"/>
    </row>
    <row r="45" spans="1:7" ht="15.75">
      <c r="A45" s="177"/>
      <c r="B45" s="355" t="s">
        <v>42</v>
      </c>
      <c r="C45" s="357" t="s">
        <v>43</v>
      </c>
      <c r="D45" s="359" t="str">
        <f>D6</f>
        <v>שנת 2016</v>
      </c>
      <c r="E45" s="359"/>
      <c r="F45" s="359"/>
      <c r="G45" s="52" t="str">
        <f>G6</f>
        <v>שנת 2017</v>
      </c>
    </row>
    <row r="46" spans="1:7" ht="16.5" thickBot="1">
      <c r="A46" s="177"/>
      <c r="B46" s="356"/>
      <c r="C46" s="358"/>
      <c r="D46" s="53" t="s">
        <v>44</v>
      </c>
      <c r="E46" s="274" t="s">
        <v>45</v>
      </c>
      <c r="F46" s="274" t="s">
        <v>156</v>
      </c>
      <c r="G46" s="55" t="s">
        <v>47</v>
      </c>
    </row>
    <row r="47" spans="1:7" ht="15.75">
      <c r="A47" s="177"/>
      <c r="B47" s="265">
        <v>1.3280000000000001</v>
      </c>
      <c r="C47" s="244" t="s">
        <v>81</v>
      </c>
      <c r="D47" s="245">
        <f>-SUMIF('[1]pivot מיוחד '!$C$89:$C$152,C47,'[1]pivot מיוחד '!$D$89:$D$152)/1000</f>
        <v>95</v>
      </c>
      <c r="E47" s="245">
        <f>-SUMIF('[1]pivot מיוחד '!$C$89:$C$152,D47,'[1]pivot מיוחד '!$D$89:$D$152)/1000</f>
        <v>0</v>
      </c>
      <c r="F47" s="245">
        <f>-SUMIF('[1]pivot מיוחד '!$C$89:$C$152,C47,'[1]pivot מיוחד '!$F$89:$F$152)/1000</f>
        <v>95</v>
      </c>
      <c r="G47" s="246">
        <f>-SUMIF('[1]pivot מיוחד '!$C$89:$C$152,C47,'[1]pivot מיוחד '!$H$89:$H$152)/1000</f>
        <v>100</v>
      </c>
    </row>
    <row r="48" spans="1:7" ht="16.5" thickBot="1">
      <c r="A48" s="177"/>
      <c r="B48" s="275">
        <v>1.329</v>
      </c>
      <c r="C48" s="258" t="s">
        <v>82</v>
      </c>
      <c r="D48" s="259">
        <f>-SUMIF('[1]pivot מיוחד '!$C$89:$C$152,C48,'[1]pivot מיוחד '!$D$89:$D$152)/1000</f>
        <v>3050</v>
      </c>
      <c r="E48" s="259">
        <f>-SUMIF('[1]pivot מיוחד '!$C$89:$C$152,D48,'[1]pivot מיוחד '!$D$89:$D$152)/1000</f>
        <v>0</v>
      </c>
      <c r="F48" s="259">
        <f>-SUMIF('[1]pivot מיוחד '!$C$89:$C$152,C48,'[1]pivot מיוחד '!$F$89:$F$152)/1000</f>
        <v>2701</v>
      </c>
      <c r="G48" s="260">
        <f>-SUMIF('[1]pivot מיוחד '!$C$89:$C$152,C48,'[1]pivot מיוחד '!$H$89:$H$152)/1000</f>
        <v>3237</v>
      </c>
    </row>
    <row r="49" spans="1:7" ht="16.5" thickBot="1">
      <c r="A49" s="177"/>
      <c r="B49" s="269">
        <v>1.32</v>
      </c>
      <c r="C49" s="262" t="s">
        <v>83</v>
      </c>
      <c r="D49" s="263">
        <f>SUM(D47:D48)</f>
        <v>3145</v>
      </c>
      <c r="E49" s="263">
        <f>SUM(E47:E48)</f>
        <v>0</v>
      </c>
      <c r="F49" s="263">
        <f>SUM(F47:F48)</f>
        <v>2796</v>
      </c>
      <c r="G49" s="264">
        <f>SUM(G47:G48)</f>
        <v>3337</v>
      </c>
    </row>
    <row r="50" spans="1:7" ht="16.5" thickBot="1">
      <c r="A50" s="177"/>
      <c r="B50" s="352"/>
      <c r="C50" s="352"/>
      <c r="D50" s="352"/>
      <c r="E50" s="352"/>
      <c r="F50" s="352"/>
      <c r="G50" s="352"/>
    </row>
    <row r="51" spans="1:7" ht="15.75">
      <c r="A51" s="177"/>
      <c r="B51" s="265">
        <v>1.341</v>
      </c>
      <c r="C51" s="244" t="s">
        <v>84</v>
      </c>
      <c r="D51" s="245">
        <f>-SUMIF('[1]pivot מיוחד '!$C$112:$C$136,C51,'[1]pivot מיוחד '!$D$112:$D$136)/1000</f>
        <v>2120</v>
      </c>
      <c r="E51" s="245">
        <f>-SUMIF('[1]pivot מיוחד '!$C$112:$C$136,D51,'[1]pivot מיוחד '!$D$112:$D$136)/1000</f>
        <v>0</v>
      </c>
      <c r="F51" s="245">
        <f>-SUMIF('[1]pivot מיוחד '!$C$112:$C$136,C51,'[1]pivot מיוחד '!$F$112:$F$136)/1000</f>
        <v>1821</v>
      </c>
      <c r="G51" s="246">
        <f>-SUMIF('[1]pivot מיוחד '!$C$112:$C$136,C51,'[1]pivot מיוחד '!$H$112:$H$136)/1000</f>
        <v>2120</v>
      </c>
    </row>
    <row r="52" spans="1:7" ht="15.75">
      <c r="A52" s="177"/>
      <c r="B52" s="267">
        <v>1.3420000000000001</v>
      </c>
      <c r="C52" s="248" t="s">
        <v>85</v>
      </c>
      <c r="D52" s="249">
        <f>-SUMIF('[1]pivot מיוחד '!$C$112:$C$136,C52,'[1]pivot מיוחד '!$D$112:$D$136)/1000</f>
        <v>454</v>
      </c>
      <c r="E52" s="249">
        <f>-SUMIF('[1]pivot מיוחד '!$C$112:$C$136,D52,'[1]pivot מיוחד '!$D$112:$D$136)/1000</f>
        <v>0</v>
      </c>
      <c r="F52" s="249">
        <f>-SUMIF('[1]pivot מיוחד '!$C$112:$C$136,C52,'[1]pivot מיוחד '!$F$112:$F$136)/1000</f>
        <v>444</v>
      </c>
      <c r="G52" s="250">
        <f>-SUMIF('[1]pivot מיוחד '!$C$112:$C$136,C52,'[1]pivot מיוחד '!$H$112:$H$136)/1000</f>
        <v>542</v>
      </c>
    </row>
    <row r="53" spans="1:7" ht="15.75">
      <c r="A53" s="177"/>
      <c r="B53" s="267">
        <v>1.3430000000000002</v>
      </c>
      <c r="C53" s="248" t="s">
        <v>86</v>
      </c>
      <c r="D53" s="249">
        <f>-SUMIF('[1]pivot מיוחד '!$C$112:$C$136,C53,'[1]pivot מיוחד '!$D$112:$D$136)/1000</f>
        <v>1505</v>
      </c>
      <c r="E53" s="249">
        <f>-SUMIF('[1]pivot מיוחד '!$C$112:$C$136,D53,'[1]pivot מיוחד '!$D$112:$D$136)/1000</f>
        <v>0</v>
      </c>
      <c r="F53" s="249">
        <f>-SUMIF('[1]pivot מיוחד '!$C$112:$C$136,C53,'[1]pivot מיוחד '!$F$112:$F$136)/1000</f>
        <v>1833</v>
      </c>
      <c r="G53" s="250">
        <f>-SUMIF('[1]pivot מיוחד '!$C$112:$C$136,C53,'[1]pivot מיוחד '!$H$112:$H$136)/1000</f>
        <v>1660</v>
      </c>
    </row>
    <row r="54" spans="1:7" ht="15.75">
      <c r="A54" s="177"/>
      <c r="B54" s="267">
        <v>1.3440000000000003</v>
      </c>
      <c r="C54" s="248" t="s">
        <v>87</v>
      </c>
      <c r="D54" s="249">
        <f>-SUMIF('[1]pivot מיוחד '!$C$112:$C$136,C54,'[1]pivot מיוחד '!$D$112:$D$136)/1000</f>
        <v>982</v>
      </c>
      <c r="E54" s="249">
        <f>-SUMIF('[1]pivot מיוחד '!$C$112:$C$136,D54,'[1]pivot מיוחד '!$D$112:$D$136)/1000</f>
        <v>0</v>
      </c>
      <c r="F54" s="249">
        <f>-SUMIF('[1]pivot מיוחד '!$C$112:$C$136,C54,'[1]pivot מיוחד '!$F$112:$F$136)/1000</f>
        <v>982</v>
      </c>
      <c r="G54" s="250">
        <f>-SUMIF('[1]pivot מיוחד '!$C$112:$C$136,C54,'[1]pivot מיוחד '!$H$112:$H$136)/1000</f>
        <v>1282</v>
      </c>
    </row>
    <row r="55" spans="1:7" ht="15.75">
      <c r="A55" s="177"/>
      <c r="B55" s="267">
        <v>1.345</v>
      </c>
      <c r="C55" s="248" t="s">
        <v>88</v>
      </c>
      <c r="D55" s="249">
        <f>-SUMIF('[1]pivot מיוחד '!$C$112:$C$136,C55,'[1]pivot מיוחד '!$D$112:$D$136)/1000</f>
        <v>6673</v>
      </c>
      <c r="E55" s="249">
        <f>-SUMIF('[1]pivot מיוחד '!$C$112:$C$136,D55,'[1]pivot מיוחד '!$D$112:$D$136)/1000</f>
        <v>0</v>
      </c>
      <c r="F55" s="249">
        <f>-SUMIF('[1]pivot מיוחד '!$C$112:$C$136,C55,'[1]pivot מיוחד '!$F$112:$F$136)/1000</f>
        <v>7002</v>
      </c>
      <c r="G55" s="250">
        <f>-SUMIF('[1]pivot מיוחד '!$C$112:$C$136,C55,'[1]pivot מיוחד '!$H$112:$H$136)/1000</f>
        <v>6650</v>
      </c>
    </row>
    <row r="56" spans="1:7" ht="15.75">
      <c r="A56" s="177"/>
      <c r="B56" s="267">
        <v>1.3460000000000005</v>
      </c>
      <c r="C56" s="248" t="s">
        <v>89</v>
      </c>
      <c r="D56" s="249">
        <f>-SUMIF('[1]pivot מיוחד '!$C$112:$C$136,C56,'[1]pivot מיוחד '!$D$112:$D$136)/1000</f>
        <v>1884</v>
      </c>
      <c r="E56" s="249">
        <f>-SUMIF('[1]pivot מיוחד '!$C$112:$C$136,D56,'[1]pivot מיוחד '!$D$112:$D$136)/1000</f>
        <v>0</v>
      </c>
      <c r="F56" s="249">
        <f>-SUMIF('[1]pivot מיוחד '!$C$112:$C$136,C56,'[1]pivot מיוחד '!$F$112:$F$136)/1000</f>
        <v>2036</v>
      </c>
      <c r="G56" s="250">
        <f>-SUMIF('[1]pivot מיוחד '!$C$112:$C$136,C56,'[1]pivot מיוחד '!$H$112:$H$136)/1000</f>
        <v>1914</v>
      </c>
    </row>
    <row r="57" spans="1:7" ht="15.75">
      <c r="A57" s="177"/>
      <c r="B57" s="267">
        <v>1.3470000000000006</v>
      </c>
      <c r="C57" s="248" t="s">
        <v>90</v>
      </c>
      <c r="D57" s="249">
        <f>-SUMIF('[1]pivot מיוחד '!$C$112:$C$136,C57,'[1]pivot מיוחד '!$D$112:$D$136)/1000</f>
        <v>287</v>
      </c>
      <c r="E57" s="249">
        <f>-SUMIF('[1]pivot מיוחד '!$C$112:$C$136,D57,'[1]pivot מיוחד '!$D$112:$D$136)/1000</f>
        <v>0</v>
      </c>
      <c r="F57" s="249">
        <f>-SUMIF('[1]pivot מיוחד '!$C$112:$C$136,C57,'[1]pivot מיוחד '!$F$112:$F$136)/1000</f>
        <v>238</v>
      </c>
      <c r="G57" s="250">
        <f>-SUMIF('[1]pivot מיוחד '!$C$112:$C$136,C57,'[1]pivot מיוחד '!$H$112:$H$136)/1000</f>
        <v>344</v>
      </c>
    </row>
    <row r="58" spans="1:7" ht="15.75">
      <c r="A58" s="177"/>
      <c r="B58" s="267">
        <v>1.3480000000000008</v>
      </c>
      <c r="C58" s="248" t="s">
        <v>91</v>
      </c>
      <c r="D58" s="249">
        <f>-SUMIF('[1]pivot מיוחד '!$C$112:$C$136,C58,'[1]pivot מיוחד '!$D$112:$D$136)/1000</f>
        <v>19.5</v>
      </c>
      <c r="E58" s="249">
        <f>-SUMIF('[1]pivot מיוחד '!$C$112:$C$136,D58,'[1]pivot מיוחד '!$D$112:$D$136)/1000</f>
        <v>0</v>
      </c>
      <c r="F58" s="249">
        <f>-SUMIF('[1]pivot מיוחד '!$C$112:$C$136,C58,'[1]pivot מיוחד '!$F$112:$F$136)/1000+7</f>
        <v>35</v>
      </c>
      <c r="G58" s="250">
        <f>-SUMIF('[1]pivot מיוחד '!$C$112:$C$136,C58,'[1]pivot מיוחד '!$H$112:$H$136)/1000</f>
        <v>50</v>
      </c>
    </row>
    <row r="59" spans="1:7" ht="16.5" thickBot="1">
      <c r="A59" s="177"/>
      <c r="B59" s="275">
        <v>1.3490000000000009</v>
      </c>
      <c r="C59" s="258" t="s">
        <v>92</v>
      </c>
      <c r="D59" s="259">
        <f>-SUMIF('[1]pivot מיוחד '!$C$112:$C$136,C59,'[1]pivot מיוחד '!$D$112:$D$136)/1000</f>
        <v>65</v>
      </c>
      <c r="E59" s="259">
        <f>-SUMIF('[1]pivot מיוחד '!$C$112:$C$136,D59,'[1]pivot מיוחד '!$D$112:$D$136)/1000</f>
        <v>0</v>
      </c>
      <c r="F59" s="259">
        <f>-SUMIF('[1]pivot מיוחד '!$C$112:$C$136,C59,'[1]pivot מיוחד '!$F$112:$F$136)/1000</f>
        <v>18</v>
      </c>
      <c r="G59" s="260">
        <f>-SUMIF('[1]pivot מיוחד '!$C$112:$C$136,C59,'[1]pivot מיוחד '!$H$112:$H$136)/1000</f>
        <v>65</v>
      </c>
    </row>
    <row r="60" spans="1:7" ht="16.5" thickBot="1">
      <c r="A60" s="177"/>
      <c r="B60" s="269">
        <v>1.34</v>
      </c>
      <c r="C60" s="262" t="s">
        <v>93</v>
      </c>
      <c r="D60" s="263">
        <f>SUM(D51:D59)</f>
        <v>13989.5</v>
      </c>
      <c r="E60" s="263">
        <f>SUM(E51:E59)</f>
        <v>0</v>
      </c>
      <c r="F60" s="263">
        <f>SUM(F51:F59)</f>
        <v>14409</v>
      </c>
      <c r="G60" s="264">
        <f>SUM(G51:G59)</f>
        <v>14627</v>
      </c>
    </row>
    <row r="61" spans="1:7" ht="16.5" thickBot="1">
      <c r="A61" s="177"/>
      <c r="B61" s="352"/>
      <c r="C61" s="352"/>
      <c r="D61" s="352"/>
      <c r="E61" s="352"/>
      <c r="F61" s="352"/>
      <c r="G61" s="352"/>
    </row>
    <row r="62" spans="1:7" ht="16.5" thickBot="1">
      <c r="A62" s="177"/>
      <c r="B62" s="276">
        <v>1.36</v>
      </c>
      <c r="C62" s="254" t="s">
        <v>94</v>
      </c>
      <c r="D62" s="277">
        <f>-SUMIF('[1]pivot מיוחד '!$C$89:$C$152,C62,'[1]pivot מיוחד '!$D$89:$D$152)/1000</f>
        <v>20</v>
      </c>
      <c r="E62" s="277">
        <f>-SUMIF('[1]pivot מיוחד '!$C$89:$C$152,D62,'[1]pivot מיוחד '!$D$89:$D$152)/1000</f>
        <v>0</v>
      </c>
      <c r="F62" s="277">
        <f>-SUMIF('[1]pivot מיוחד '!$C$89:$C$152,C62,'[1]pivot מיוחד '!$F$89:$F$152)/1000</f>
        <v>13</v>
      </c>
      <c r="G62" s="278">
        <f>-SUMIF('[1]pivot מיוחד '!$C$89:$C$152,C62,'[1]pivot מיוחד '!$H$89:$H$152)/1000</f>
        <v>20</v>
      </c>
    </row>
    <row r="63" spans="1:7" ht="16.5" thickBot="1">
      <c r="A63" s="177"/>
      <c r="B63" s="352"/>
      <c r="C63" s="352"/>
      <c r="D63" s="352"/>
      <c r="E63" s="352"/>
      <c r="F63" s="352"/>
      <c r="G63" s="352"/>
    </row>
    <row r="64" spans="1:7" ht="15.75">
      <c r="A64" s="177"/>
      <c r="B64" s="279">
        <v>1.4131</v>
      </c>
      <c r="C64" s="244" t="s">
        <v>95</v>
      </c>
      <c r="D64" s="245">
        <f>-SUMIF('[1]pivot מיוחד '!$C$138:$C$153,C64,'[1]pivot מיוחד '!$D$138:$D$153)/1000</f>
        <v>294</v>
      </c>
      <c r="E64" s="245">
        <f>-SUMIF('[1]pivot מיוחד '!$C$138:$C$153,D64,'[1]pivot מיוחד '!$D$138:$D$153)/1000</f>
        <v>0</v>
      </c>
      <c r="F64" s="245">
        <f>-SUMIF('[1]pivot מיוחד '!$C$138:$C$153,C64,'[1]pivot מיוחד '!$F$138:$F$153)/1000</f>
        <v>55</v>
      </c>
      <c r="G64" s="246">
        <f>-SUMIF('[1]pivot מיוחד '!$C$138:$C$153,C64,'[1]pivot מיוחד '!$H$138:$H$153)/1000</f>
        <v>301</v>
      </c>
    </row>
    <row r="65" spans="1:7" ht="15.75">
      <c r="A65" s="177"/>
      <c r="B65" s="266">
        <v>1.4132</v>
      </c>
      <c r="C65" s="248" t="s">
        <v>96</v>
      </c>
      <c r="D65" s="249">
        <f>-SUMIF('[1]pivot מיוחד '!$C$138:$C$153,C65,'[1]pivot מיוחד '!$D$138:$D$153)/1000</f>
        <v>316</v>
      </c>
      <c r="E65" s="249">
        <f>-SUMIF('[1]pivot מיוחד '!$C$138:$C$153,D65,'[1]pivot מיוחד '!$D$138:$D$153)/1000</f>
        <v>0</v>
      </c>
      <c r="F65" s="249">
        <f>-SUMIF('[1]pivot מיוחד '!$C$138:$C$153,C65,'[1]pivot מיוחד '!$F$138:$F$153)/1000</f>
        <v>242</v>
      </c>
      <c r="G65" s="250">
        <f>-SUMIF('[1]pivot מיוחד '!$C$138:$C$153,C65,'[1]pivot מיוחד '!$H$138:$H$153)/1000</f>
        <v>241</v>
      </c>
    </row>
    <row r="66" spans="1:7" ht="15.75">
      <c r="A66" s="177"/>
      <c r="B66" s="267">
        <v>1.472</v>
      </c>
      <c r="C66" s="248" t="s">
        <v>98</v>
      </c>
      <c r="D66" s="249">
        <f>-SUMIF('[1]pivot מיוחד '!$C$138:$C$153,C66,'[1]pivot מיוחד '!$D$138:$D$153)/1000+439</f>
        <v>679.2</v>
      </c>
      <c r="E66" s="249">
        <f>-SUMIF('[1]pivot מיוחד '!$C$138:$C$153,D66,'[1]pivot מיוחד '!$D$138:$D$153)/1000</f>
        <v>0</v>
      </c>
      <c r="F66" s="249">
        <f>-SUMIF('[1]pivot מיוחד '!$C$138:$C$153,C66,'[1]pivot מיוחד '!$F$138:$F$153)/1000+439</f>
        <v>457</v>
      </c>
      <c r="G66" s="250">
        <f>-SUMIF('[1]pivot מיוחד '!$C$138:$C$153,C66,'[1]pivot מיוחד '!$H$138:$H$153)/1000+434</f>
        <v>635</v>
      </c>
    </row>
    <row r="67" spans="1:7" ht="16.5" thickBot="1">
      <c r="A67" s="177"/>
      <c r="B67" s="275">
        <v>1.599</v>
      </c>
      <c r="C67" s="258" t="s">
        <v>99</v>
      </c>
      <c r="D67" s="259">
        <f>-SUMIF('[1]pivot מיוחד '!$C$138:$C$153,C67,'[1]pivot מיוחד '!$D$138:$D$153)/1000</f>
        <v>250</v>
      </c>
      <c r="E67" s="259">
        <f>-SUMIF('[1]pivot מיוחד '!$C$138:$C$153,D67,'[1]pivot מיוחד '!$D$138:$D$153)/1000</f>
        <v>0</v>
      </c>
      <c r="F67" s="259">
        <f>-SUMIF('[1]pivot מיוחד '!$C$138:$C$153,C67,'[1]pivot מיוחד '!$F$138:$F$153)/1000</f>
        <v>65</v>
      </c>
      <c r="G67" s="260">
        <f>-SUMIF('[1]pivot מיוחד '!$C$138:$C$153,C67,'[1]pivot מיוחד '!$H$138:$H$153)/1000</f>
        <v>100</v>
      </c>
    </row>
    <row r="68" spans="1:7" ht="16.5" thickBot="1">
      <c r="A68" s="177"/>
      <c r="B68" s="280">
        <v>1.4</v>
      </c>
      <c r="C68" s="281" t="s">
        <v>100</v>
      </c>
      <c r="D68" s="281">
        <f>SUM(D64:D67)</f>
        <v>1539.2</v>
      </c>
      <c r="E68" s="281">
        <f>SUM(E64:E67)</f>
        <v>0</v>
      </c>
      <c r="F68" s="281">
        <f>SUM(F64:F67)</f>
        <v>819</v>
      </c>
      <c r="G68" s="282">
        <f>SUM(G64:G67)</f>
        <v>1277</v>
      </c>
    </row>
    <row r="69" spans="1:7" ht="16.5" thickBot="1">
      <c r="A69" s="177"/>
      <c r="B69" s="352"/>
      <c r="C69" s="352"/>
      <c r="D69" s="352"/>
      <c r="E69" s="352"/>
      <c r="F69" s="352"/>
      <c r="G69" s="352"/>
    </row>
    <row r="70" spans="1:7" ht="16.5" thickBot="1">
      <c r="A70" s="177"/>
      <c r="B70" s="353" t="s">
        <v>21</v>
      </c>
      <c r="C70" s="354"/>
      <c r="D70" s="254">
        <f>D10+D15+D24+D41+D49+D60+D62+D68</f>
        <v>254798.8</v>
      </c>
      <c r="E70" s="254">
        <f>E10+E15+E24+E41+E49+E60+E62+E68</f>
        <v>250</v>
      </c>
      <c r="F70" s="283">
        <f>F10+F15+F24+F41+F49+F60+F62+F68</f>
        <v>254279.63136449998</v>
      </c>
      <c r="G70" s="284">
        <f>G10+G15+G24+G41+G49+G60+G62+G68</f>
        <v>272076</v>
      </c>
    </row>
  </sheetData>
  <mergeCells count="17">
    <mergeCell ref="B1:G1"/>
    <mergeCell ref="B2:G2"/>
    <mergeCell ref="B3:G3"/>
    <mergeCell ref="B4:G4"/>
    <mergeCell ref="B6:B7"/>
    <mergeCell ref="C6:C7"/>
    <mergeCell ref="D6:F6"/>
    <mergeCell ref="B61:G61"/>
    <mergeCell ref="B63:G63"/>
    <mergeCell ref="B69:G69"/>
    <mergeCell ref="B70:C70"/>
    <mergeCell ref="B16:G16"/>
    <mergeCell ref="B25:G25"/>
    <mergeCell ref="B45:B46"/>
    <mergeCell ref="C45:C46"/>
    <mergeCell ref="D45:F45"/>
    <mergeCell ref="B50:G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0"/>
  <sheetViews>
    <sheetView rightToLeft="1" tabSelected="1" topLeftCell="A4" workbookViewId="0">
      <selection activeCell="I3" sqref="I3"/>
    </sheetView>
  </sheetViews>
  <sheetFormatPr defaultRowHeight="15"/>
  <cols>
    <col min="3" max="3" width="21.5703125" bestFit="1" customWidth="1"/>
    <col min="6" max="7" width="0" hidden="1" customWidth="1"/>
  </cols>
  <sheetData>
    <row r="1" spans="1:11" ht="15.7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1">
      <c r="A2" s="177"/>
      <c r="B2" s="342" t="s">
        <v>0</v>
      </c>
      <c r="C2" s="342"/>
      <c r="D2" s="342"/>
      <c r="E2" s="342"/>
      <c r="F2" s="342"/>
      <c r="G2" s="342"/>
      <c r="H2" s="342"/>
      <c r="I2" s="343"/>
      <c r="J2" s="343"/>
      <c r="K2" s="343"/>
    </row>
    <row r="3" spans="1:11" ht="21">
      <c r="A3" s="177"/>
      <c r="B3" s="109"/>
      <c r="C3" s="109"/>
      <c r="D3" s="109"/>
      <c r="E3" s="109"/>
      <c r="F3" s="109"/>
      <c r="G3" s="109"/>
      <c r="H3" s="109"/>
      <c r="I3" s="110"/>
      <c r="J3" s="110"/>
      <c r="K3" s="110"/>
    </row>
    <row r="4" spans="1:11">
      <c r="A4" s="177"/>
      <c r="B4" s="342" t="s">
        <v>151</v>
      </c>
      <c r="C4" s="342"/>
      <c r="D4" s="342"/>
      <c r="E4" s="342"/>
      <c r="F4" s="342"/>
      <c r="G4" s="342"/>
      <c r="H4" s="342"/>
      <c r="I4" s="343"/>
      <c r="J4" s="343"/>
      <c r="K4" s="343"/>
    </row>
    <row r="5" spans="1:11" ht="28.5" customHeight="1">
      <c r="A5" s="177"/>
      <c r="B5" s="342"/>
      <c r="C5" s="342"/>
      <c r="D5" s="342"/>
      <c r="E5" s="342"/>
      <c r="F5" s="342"/>
      <c r="G5" s="342"/>
      <c r="H5" s="342"/>
      <c r="I5" s="343"/>
      <c r="J5" s="343"/>
      <c r="K5" s="343"/>
    </row>
    <row r="6" spans="1:11" ht="21">
      <c r="A6" s="177"/>
      <c r="B6" s="344" t="s">
        <v>2</v>
      </c>
      <c r="C6" s="344"/>
      <c r="D6" s="344"/>
      <c r="E6" s="344"/>
      <c r="F6" s="344"/>
      <c r="G6" s="344"/>
      <c r="H6" s="344"/>
      <c r="I6" s="345"/>
      <c r="J6" s="345"/>
      <c r="K6" s="345"/>
    </row>
    <row r="7" spans="1:11" ht="15.7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1" ht="20.25">
      <c r="A8" s="108"/>
      <c r="B8" s="346" t="s">
        <v>102</v>
      </c>
      <c r="C8" s="346"/>
      <c r="D8" s="375"/>
      <c r="E8" s="375"/>
      <c r="F8" s="375"/>
      <c r="G8" s="375"/>
      <c r="H8" s="375"/>
      <c r="I8" s="375"/>
      <c r="J8" s="375"/>
      <c r="K8" s="375"/>
    </row>
    <row r="9" spans="1:11" ht="16.5" thickBot="1">
      <c r="A9" s="108"/>
      <c r="B9" s="111"/>
      <c r="C9" s="111"/>
      <c r="D9" s="112"/>
      <c r="E9" s="112"/>
      <c r="F9" s="112"/>
      <c r="G9" s="112"/>
      <c r="H9" s="112"/>
      <c r="I9" s="112"/>
      <c r="J9" s="112"/>
      <c r="K9" s="112"/>
    </row>
    <row r="10" spans="1:11" ht="15.75" customHeight="1">
      <c r="A10" s="108"/>
      <c r="B10" s="285"/>
      <c r="C10" s="286"/>
      <c r="D10" s="371" t="s">
        <v>158</v>
      </c>
      <c r="E10" s="376"/>
      <c r="F10" s="371" t="s">
        <v>159</v>
      </c>
      <c r="G10" s="373"/>
      <c r="H10" s="377"/>
      <c r="I10" s="378"/>
      <c r="J10" s="371" t="s">
        <v>160</v>
      </c>
      <c r="K10" s="379"/>
    </row>
    <row r="11" spans="1:11" ht="16.5" thickBot="1">
      <c r="A11" s="108"/>
      <c r="B11" s="287" t="s">
        <v>42</v>
      </c>
      <c r="C11" s="288" t="s">
        <v>43</v>
      </c>
      <c r="D11" s="289" t="s">
        <v>105</v>
      </c>
      <c r="E11" s="290" t="s">
        <v>36</v>
      </c>
      <c r="F11" s="289" t="s">
        <v>105</v>
      </c>
      <c r="G11" s="290" t="s">
        <v>36</v>
      </c>
      <c r="H11" s="289" t="s">
        <v>105</v>
      </c>
      <c r="I11" s="290" t="s">
        <v>36</v>
      </c>
      <c r="J11" s="116" t="s">
        <v>105</v>
      </c>
      <c r="K11" s="118" t="s">
        <v>36</v>
      </c>
    </row>
    <row r="12" spans="1:11" ht="15.75">
      <c r="A12" s="108"/>
      <c r="B12" s="291">
        <v>6.1</v>
      </c>
      <c r="C12" s="292" t="s">
        <v>106</v>
      </c>
      <c r="D12" s="139">
        <f>SUMIF('[1]pivot מיוחד '!$C$59:$C$87,C12,'[1]pivot מיוחד '!$D$59:$D$87)/1000</f>
        <v>6893.9</v>
      </c>
      <c r="E12" s="139">
        <f>SUMIF('[1]pivot מיוחד '!$C$5:$C$58,C12,'[1]pivot מיוחד '!$D$5:$D$58)/1000</f>
        <v>3525.9</v>
      </c>
      <c r="F12" s="139">
        <f>SUMIF('[1]pivot מיוחד '!$C$59:$C$87,C12,'[1]pivot מיוחד '!$F$59:$F$87)/1000</f>
        <v>6584.2324499999986</v>
      </c>
      <c r="G12" s="139">
        <f>SUMIF('[1]pivot מיוחד '!$C$5:$C$58,E12,'[1]pivot מיוחד '!$D$5:$D$58)/1000</f>
        <v>0</v>
      </c>
      <c r="H12" s="139">
        <f>F12+G12</f>
        <v>6584.2324499999986</v>
      </c>
      <c r="I12" s="139">
        <f>SUMIF('[1]pivot מיוחד '!$C$5:$C$65,C12,'[1]pivot מיוחד '!$F$5:$F$97)/1000</f>
        <v>3161.6471019999999</v>
      </c>
      <c r="J12" s="139">
        <f>SUMIF('[1]pivot מיוחד '!$C$59:$C$87,C12,'[1]pivot מיוחד '!$H$59:$H$87)/1000</f>
        <v>6979</v>
      </c>
      <c r="K12" s="140">
        <f>SUMIF('[1]pivot מיוחד '!$C$5:$C$58,C12,'[1]pivot מיוחד '!$H$5:$H$58)/1000+125</f>
        <v>3955</v>
      </c>
    </row>
    <row r="13" spans="1:11" ht="15.75">
      <c r="A13" s="108"/>
      <c r="B13" s="293">
        <v>6.2</v>
      </c>
      <c r="C13" s="135" t="s">
        <v>107</v>
      </c>
      <c r="D13" s="125">
        <f>SUMIF('[1]pivot מיוחד '!$C$59:$C$87,C13,'[1]pivot מיוחד '!$D$59:$D$87)/1000</f>
        <v>3499.6</v>
      </c>
      <c r="E13" s="125">
        <f>SUMIF('[1]pivot מיוחד '!$C$5:$C$58,C13,'[1]pivot מיוחד '!$D$5:$D$58)/1000</f>
        <v>2472.1</v>
      </c>
      <c r="F13" s="125">
        <f>SUMIF('[1]pivot מיוחד '!$C$59:$C$87,C13,'[1]pivot מיוחד '!$F$59:$F$87)/1000</f>
        <v>3493.5386100000005</v>
      </c>
      <c r="G13" s="125"/>
      <c r="H13" s="125">
        <f>F13+G13</f>
        <v>3493.5386100000005</v>
      </c>
      <c r="I13" s="125">
        <f>SUMIF('[1]pivot מיוחד '!$C$5:$C$65,C13,'[1]pivot מיוחד '!$F$5:$F$97)/1000</f>
        <v>2478.8862399999998</v>
      </c>
      <c r="J13" s="125">
        <f>SUMIF('[1]pivot מיוחד '!$C$59:$C$87,C13,'[1]pivot מיוחד '!$H$59:$H$87)/1000</f>
        <v>3368</v>
      </c>
      <c r="K13" s="126">
        <f>SUMIF('[1]pivot מיוחד '!$C$5:$C$58,C13,'[1]pivot מיוחד '!$H$5:$H$58)/1000</f>
        <v>3179</v>
      </c>
    </row>
    <row r="14" spans="1:11" ht="15.75">
      <c r="A14" s="108"/>
      <c r="B14" s="293">
        <v>6.3</v>
      </c>
      <c r="C14" s="135" t="s">
        <v>30</v>
      </c>
      <c r="D14" s="125">
        <f>SUMIF('[1]pivot מיוחד '!$C$59:$C$87,C14,'[1]pivot מיוחד '!$D$59:$D$87)/1000</f>
        <v>0</v>
      </c>
      <c r="E14" s="125">
        <f>SUMIF('[1]pivot מיוחד '!$C$5:$C$58,C14,'[1]pivot מיוחד '!$D$5:$D$58)/1000</f>
        <v>1462.4</v>
      </c>
      <c r="F14" s="125">
        <f>SUMIF('[1]pivot מיוחד '!$C$59:$C$87,C14,'[1]pivot מיוחד '!$F$59:$F$87)/1000</f>
        <v>0</v>
      </c>
      <c r="G14" s="125"/>
      <c r="H14" s="125">
        <f>F14+G14</f>
        <v>0</v>
      </c>
      <c r="I14" s="125">
        <f>SUMIF('[1]pivot מיוחד '!$C$5:$C$65,C14,'[1]pivot מיוחד '!$F$5:$F$97)/1000</f>
        <v>1435.9667899999999</v>
      </c>
      <c r="J14" s="125">
        <f>SUMIF('[1]pivot מיוחד '!$C$59:$C$87,C14,'[1]pivot מיוחד '!$H$59:$H$87)/1000</f>
        <v>0</v>
      </c>
      <c r="K14" s="126">
        <f>SUMIF('[1]pivot מיוחד '!$C$5:$C$58,C14,'[1]pivot מיוחד '!$H$5:$H$58)/1000</f>
        <v>1569</v>
      </c>
    </row>
    <row r="15" spans="1:11" ht="16.5" thickBot="1">
      <c r="A15" s="108"/>
      <c r="B15" s="293">
        <v>6.4</v>
      </c>
      <c r="C15" s="135" t="s">
        <v>29</v>
      </c>
      <c r="D15" s="129">
        <v>0</v>
      </c>
      <c r="E15" s="129">
        <f>SUMIF('[1]pivot מיוחד '!$C$59:$C$87,C15,'[1]pivot מיוחד '!$D$59:$D$87)/1000</f>
        <v>7040</v>
      </c>
      <c r="F15" s="129">
        <v>0</v>
      </c>
      <c r="G15" s="129"/>
      <c r="H15" s="129">
        <f>F15+G15</f>
        <v>0</v>
      </c>
      <c r="I15" s="129">
        <f>SUMIF('[1]pivot מיוחד '!$C$5:$C$65,C15,'[1]pivot מיוחד '!$F$5:$F$97)/1000+7</f>
        <v>6956.5190000000002</v>
      </c>
      <c r="J15" s="129">
        <v>0</v>
      </c>
      <c r="K15" s="130">
        <f>SUMIF('[1]pivot מיוחד '!$C$59:$C$87,C15,'[1]pivot מיוחד '!$H$59:$H$87)/1000</f>
        <v>7795</v>
      </c>
    </row>
    <row r="16" spans="1:11" ht="18.75" thickBot="1">
      <c r="A16" s="108"/>
      <c r="B16" s="131">
        <v>6</v>
      </c>
      <c r="C16" s="294" t="s">
        <v>108</v>
      </c>
      <c r="D16" s="158">
        <f>SUM(D12:D15)</f>
        <v>10393.5</v>
      </c>
      <c r="E16" s="158">
        <f>SUM(E12:E15)</f>
        <v>14500.4</v>
      </c>
      <c r="F16" s="158">
        <f>SUM(F12:F15)</f>
        <v>10077.771059999999</v>
      </c>
      <c r="G16" s="165">
        <f t="shared" ref="G16:I16" si="0">SUM(G12:G15)</f>
        <v>0</v>
      </c>
      <c r="H16" s="165">
        <f t="shared" si="0"/>
        <v>10077.771059999999</v>
      </c>
      <c r="I16" s="158">
        <f t="shared" si="0"/>
        <v>14033.019131999999</v>
      </c>
      <c r="J16" s="158">
        <f>SUM(J12:J15)</f>
        <v>10347</v>
      </c>
      <c r="K16" s="159">
        <f>SUM(K12:K15)</f>
        <v>16498</v>
      </c>
    </row>
    <row r="17" spans="1:11" ht="16.5" thickBot="1">
      <c r="A17" s="108"/>
      <c r="B17" s="135"/>
      <c r="C17" s="135"/>
      <c r="D17" s="136"/>
      <c r="E17" s="136"/>
      <c r="F17" s="136"/>
      <c r="G17" s="112"/>
      <c r="H17" s="112"/>
      <c r="I17" s="136"/>
      <c r="J17" s="136"/>
      <c r="K17" s="136"/>
    </row>
    <row r="18" spans="1:11" ht="15.75">
      <c r="A18" s="108"/>
      <c r="B18" s="137">
        <v>7.1</v>
      </c>
      <c r="C18" s="138" t="s">
        <v>109</v>
      </c>
      <c r="D18" s="139">
        <f>SUMIF('[1]pivot מיוחד '!$C$59:$C$87,C18,'[1]pivot מיוחד '!$D$59:$D$87)/1000</f>
        <v>7878.9</v>
      </c>
      <c r="E18" s="139">
        <f>SUMIF('[1]pivot מיוחד '!$C$5:$C$58,C18,'[1]pivot מיוחד '!$D$5:$D$58)/1000</f>
        <v>15021.9</v>
      </c>
      <c r="F18" s="139">
        <f>SUMIF('[1]pivot מיוחד '!$C$59:$C$87,C18,'[1]pivot מיוחד '!$F$59:$F$87)/1000</f>
        <v>8135.0309599999982</v>
      </c>
      <c r="G18" s="139">
        <f>SUMIF('[1]pivot מיוחד '!$C$5:$C$58,E18,'[1]pivot מיוחד '!$D$5:$D$58)/1000</f>
        <v>0</v>
      </c>
      <c r="H18" s="139">
        <f t="shared" ref="H18:H24" si="1">F18+G18</f>
        <v>8135.0309599999982</v>
      </c>
      <c r="I18" s="139">
        <f>SUMIF('[1]pivot מיוחד '!$C$5:$C$65,C18,'[1]pivot מיוחד '!$F$5:$F$97)/1000</f>
        <v>14497.171032</v>
      </c>
      <c r="J18" s="139">
        <f>SUMIF('[1]pivot מיוחד '!$C$59:$C$87,C18,'[1]pivot מיוחד '!$H$59:$H$87)/1000</f>
        <v>8712</v>
      </c>
      <c r="K18" s="140">
        <f>SUMIF('[1]pivot מיוחד '!$C$5:$C$58,C18,'[1]pivot מיוחד '!$H$5:$H$58)/1000</f>
        <v>16211</v>
      </c>
    </row>
    <row r="19" spans="1:11" ht="15.75">
      <c r="A19" s="108"/>
      <c r="B19" s="141">
        <v>7.2</v>
      </c>
      <c r="C19" s="142" t="s">
        <v>71</v>
      </c>
      <c r="D19" s="125">
        <f>SUMIF('[1]pivot מיוחד '!$C$59:$C$87,C19,'[1]pivot מיוחד '!$D$59:$D$87)/1000</f>
        <v>858.4</v>
      </c>
      <c r="E19" s="125">
        <f>SUMIF('[1]pivot מיוחד '!$C$5:$C$58,C19,'[1]pivot מיוחד '!$D$5:$D$58)/1000</f>
        <v>1583.6</v>
      </c>
      <c r="F19" s="125">
        <f>SUMIF('[1]pivot מיוחד '!$C$59:$C$87,C19,'[1]pivot מיוחד '!$F$59:$F$87)/1000</f>
        <v>870.21978000000001</v>
      </c>
      <c r="G19" s="125">
        <f>SUMIF('[1]pivot מיוחד '!$C$5:$C$58,E19,'[1]pivot מיוחד '!$D$5:$D$58)/1000</f>
        <v>0</v>
      </c>
      <c r="H19" s="125">
        <f t="shared" si="1"/>
        <v>870.21978000000001</v>
      </c>
      <c r="I19" s="125">
        <f>SUMIF('[1]pivot מיוחד '!$C$5:$C$65,C19,'[1]pivot מיוחד '!$F$5:$F$97)/1000</f>
        <v>1194.505568</v>
      </c>
      <c r="J19" s="125">
        <f>SUMIF('[1]pivot מיוחד '!$C$59:$C$87,C19,'[1]pivot מיוחד '!$H$59:$H$87)/1000</f>
        <v>916</v>
      </c>
      <c r="K19" s="126">
        <f>SUMIF('[1]pivot מיוחד '!$C$5:$C$58,C19,'[1]pivot מיוחד '!$H$5:$H$58)/1000</f>
        <v>1276</v>
      </c>
    </row>
    <row r="20" spans="1:11" ht="15.75">
      <c r="A20" s="108"/>
      <c r="B20" s="123">
        <v>7.3</v>
      </c>
      <c r="C20" s="124" t="s">
        <v>57</v>
      </c>
      <c r="D20" s="125">
        <f>SUMIF('[1]pivot מיוחד '!$C$59:$C$87,C20,'[1]pivot מיוחד '!$D$59:$D$87)/1000</f>
        <v>3894.8</v>
      </c>
      <c r="E20" s="125">
        <f>SUMIF('[1]pivot מיוחד '!$C$5:$C$58,C20,'[1]pivot מיוחד '!$D$5:$D$58)/1000</f>
        <v>4513</v>
      </c>
      <c r="F20" s="125">
        <f>SUMIF('[1]pivot מיוחד '!$C$59:$C$87,C20,'[1]pivot מיוחד '!$F$59:$F$87)/1000</f>
        <v>4096.3971999999994</v>
      </c>
      <c r="G20" s="125">
        <f>SUMIF('[1]pivot מיוחד '!$C$5:$C$58,E20,'[1]pivot מיוחד '!$D$5:$D$58)/1000</f>
        <v>0</v>
      </c>
      <c r="H20" s="125">
        <f t="shared" si="1"/>
        <v>4096.3971999999994</v>
      </c>
      <c r="I20" s="125">
        <f>SUMIF('[1]pivot מיוחד '!$C$5:$C$65,C20,'[1]pivot מיוחד '!$F$5:$F$97)/1000</f>
        <v>3449.0172299999999</v>
      </c>
      <c r="J20" s="125">
        <f>SUMIF('[1]pivot מיוחד '!$C$59:$C$87,C20,'[1]pivot מיוחד '!$H$59:$H$87)/1000</f>
        <v>4457</v>
      </c>
      <c r="K20" s="126">
        <f>SUMIF('[1]pivot מיוחד '!$C$5:$C$58,C20,'[1]pivot מיוחד '!$H$5:$H$58)/1000</f>
        <v>5312</v>
      </c>
    </row>
    <row r="21" spans="1:11" ht="15.75">
      <c r="A21" s="108"/>
      <c r="B21" s="123">
        <v>7.4</v>
      </c>
      <c r="C21" s="124" t="s">
        <v>58</v>
      </c>
      <c r="D21" s="125">
        <f>SUMIF('[1]pivot מיוחד '!$C$59:$C$87,C21,'[1]pivot מיוחד '!$D$59:$D$87)/1000</f>
        <v>2573.3000000000002</v>
      </c>
      <c r="E21" s="125">
        <f>SUMIF('[1]pivot מיוחד '!$C$5:$C$58,C21,'[1]pivot מיוחד '!$D$5:$D$58)/1000</f>
        <v>2193.3000000000002</v>
      </c>
      <c r="F21" s="125">
        <f>SUMIF('[1]pivot מיוחד '!$C$59:$C$87,C21,'[1]pivot מיוחד '!$F$59:$F$87)/1000</f>
        <v>2683.4136900000003</v>
      </c>
      <c r="G21" s="125">
        <f>SUMIF('[1]pivot מיוחד '!$C$5:$C$58,E21,'[1]pivot מיוחד '!$D$5:$D$58)/1000</f>
        <v>0</v>
      </c>
      <c r="H21" s="125">
        <f t="shared" si="1"/>
        <v>2683.4136900000003</v>
      </c>
      <c r="I21" s="125">
        <f>SUMIF('[1]pivot מיוחד '!$C$5:$C$65,C21,'[1]pivot מיוחד '!$F$5:$F$97)/1000</f>
        <v>2215.9437663636368</v>
      </c>
      <c r="J21" s="125">
        <f>SUMIF('[1]pivot מיוחד '!$C$59:$C$87,C21,'[1]pivot מיוחד '!$H$59:$H$87)/1000</f>
        <v>2803</v>
      </c>
      <c r="K21" s="126">
        <f>SUMIF('[1]pivot מיוחד '!$C$5:$C$58,C21,'[1]pivot מיוחד '!$H$5:$H$58)/1000+33</f>
        <v>2804</v>
      </c>
    </row>
    <row r="22" spans="1:11" ht="15.75">
      <c r="A22" s="108"/>
      <c r="B22" s="123">
        <v>7.46</v>
      </c>
      <c r="C22" s="124" t="s">
        <v>110</v>
      </c>
      <c r="D22" s="125">
        <f>SUMIF('[1]pivot מיוחד '!$C$59:$C$87,C22,'[1]pivot מיוחד '!$D$59:$D$87)/1000</f>
        <v>1031.2</v>
      </c>
      <c r="E22" s="125">
        <f>SUMIF('[1]pivot מיוחד '!$C$5:$C$58,C22,'[1]pivot מיוחד '!$D$5:$D$58)/1000</f>
        <v>4145.8999999999996</v>
      </c>
      <c r="F22" s="125">
        <f>SUMIF('[1]pivot מיוחד '!$C$59:$C$87,C22,'[1]pivot מיוחד '!$F$59:$F$87)/1000</f>
        <v>1020.6783399999999</v>
      </c>
      <c r="G22" s="125">
        <f>SUMIF('[1]pivot מיוחד '!$C$5:$C$58,E22,'[1]pivot מיוחד '!$D$5:$D$58)/1000</f>
        <v>0</v>
      </c>
      <c r="H22" s="125">
        <f t="shared" si="1"/>
        <v>1020.6783399999999</v>
      </c>
      <c r="I22" s="125">
        <f>SUMIF('[1]pivot מיוחד '!$C$5:$C$65,C22,'[1]pivot מיוחד '!$F$5:$F$97)/1000</f>
        <v>3854.6259879999998</v>
      </c>
      <c r="J22" s="125">
        <f>SUMIF('[1]pivot מיוחד '!$C$59:$C$87,C22,'[1]pivot מיוחד '!$H$59:$H$87)/1000</f>
        <v>1062</v>
      </c>
      <c r="K22" s="126">
        <f>SUMIF('[1]pivot מיוחד '!$C$5:$C$58,C22,'[1]pivot מיוחד '!$H$5:$H$58)/1000</f>
        <v>5422</v>
      </c>
    </row>
    <row r="23" spans="1:11" ht="15.75">
      <c r="A23" s="108"/>
      <c r="B23" s="123">
        <v>7.5</v>
      </c>
      <c r="C23" s="124" t="s">
        <v>111</v>
      </c>
      <c r="D23" s="125">
        <f>SUMIF('[1]pivot מיוחד '!$C$59:$C$87,C23,'[1]pivot מיוחד '!$D$59:$D$87)/1000</f>
        <v>0</v>
      </c>
      <c r="E23" s="125">
        <f>SUMIF('[1]pivot מיוחד '!$C$5:$C$58,C23,'[1]pivot מיוחד '!$D$5:$D$58)/1000</f>
        <v>461</v>
      </c>
      <c r="F23" s="125">
        <f>SUMIF('[1]pivot מיוחד '!$C$59:$C$87,C23,'[1]pivot מיוחד '!$F$59:$F$87)/1000</f>
        <v>0</v>
      </c>
      <c r="G23" s="125">
        <f>SUMIF('[1]pivot מיוחד '!$C$5:$C$58,E23,'[1]pivot מיוחד '!$D$5:$D$58)/1000</f>
        <v>0</v>
      </c>
      <c r="H23" s="125">
        <f t="shared" si="1"/>
        <v>0</v>
      </c>
      <c r="I23" s="125">
        <f>SUMIF('[1]pivot מיוחד '!$C$5:$C$65,C23,'[1]pivot מיוחד '!$F$5:$F$97)/1000</f>
        <v>494.28800999999993</v>
      </c>
      <c r="J23" s="125">
        <f>SUMIF('[1]pivot מיוחד '!$C$59:$C$87,C23,'[1]pivot מיוחד '!$H$59:$H$87)/1000</f>
        <v>0</v>
      </c>
      <c r="K23" s="126">
        <f>SUMIF('[1]pivot מיוחד '!$C$5:$C$58,C23,'[1]pivot מיוחד '!$H$5:$H$58)/1000</f>
        <v>519</v>
      </c>
    </row>
    <row r="24" spans="1:11" ht="16.5" thickBot="1">
      <c r="A24" s="108"/>
      <c r="B24" s="127">
        <v>7.6</v>
      </c>
      <c r="C24" s="128" t="s">
        <v>112</v>
      </c>
      <c r="D24" s="129">
        <f>SUMIF('[1]pivot מיוחד '!$C$59:$C$87,C24,'[1]pivot מיוחד '!$D$59:$D$87)/1000</f>
        <v>855.3</v>
      </c>
      <c r="E24" s="129">
        <f>SUMIF('[1]pivot מיוחד '!$C$5:$C$58,C24,'[1]pivot מיוחד '!$D$5:$D$58)/1000</f>
        <v>2980.4</v>
      </c>
      <c r="F24" s="129">
        <f>SUMIF('[1]pivot מיוחד '!$C$59:$C$87,C24,'[1]pivot מיוחד '!$F$59:$F$87)/1000</f>
        <v>849.67750999999987</v>
      </c>
      <c r="G24" s="129">
        <f>SUMIF('[1]pivot מיוחד '!$C$5:$C$58,E24,'[1]pivot מיוחד '!$D$5:$D$58)/1000</f>
        <v>0</v>
      </c>
      <c r="H24" s="129">
        <f t="shared" si="1"/>
        <v>849.67750999999987</v>
      </c>
      <c r="I24" s="129">
        <f>SUMIF('[1]pivot מיוחד '!$C$5:$C$65,C24,'[1]pivot מיוחד '!$F$5:$F$97)/1000</f>
        <v>2978.2827599999996</v>
      </c>
      <c r="J24" s="129">
        <f>SUMIF('[1]pivot מיוחד '!$C$59:$C$87,C24,'[1]pivot מיוחד '!$H$59:$H$87)/1000</f>
        <v>863</v>
      </c>
      <c r="K24" s="130">
        <f>SUMIF('[1]pivot מיוחד '!$C$5:$C$58,C24,'[1]pivot מיוחד '!$H$5:$H$58)/1000</f>
        <v>3191</v>
      </c>
    </row>
    <row r="25" spans="1:11" ht="18.75" thickBot="1">
      <c r="A25" s="108"/>
      <c r="B25" s="131">
        <v>7</v>
      </c>
      <c r="C25" s="132" t="s">
        <v>113</v>
      </c>
      <c r="D25" s="158">
        <f>SUM(D18:D24)</f>
        <v>17091.899999999998</v>
      </c>
      <c r="E25" s="158">
        <f t="shared" ref="E25:I25" si="2">SUM(E18:E24)</f>
        <v>30899.1</v>
      </c>
      <c r="F25" s="158">
        <f>SUM(F18:F24)</f>
        <v>17655.417479999996</v>
      </c>
      <c r="G25" s="158">
        <f t="shared" si="2"/>
        <v>0</v>
      </c>
      <c r="H25" s="158">
        <f t="shared" si="2"/>
        <v>17655.417479999996</v>
      </c>
      <c r="I25" s="158">
        <f t="shared" si="2"/>
        <v>28683.834354363637</v>
      </c>
      <c r="J25" s="158">
        <f>SUM(J18:J24)</f>
        <v>18813</v>
      </c>
      <c r="K25" s="159">
        <f t="shared" ref="K25" si="3">SUM(K18:K24)</f>
        <v>34735</v>
      </c>
    </row>
    <row r="26" spans="1:11" ht="16.5" thickBot="1">
      <c r="A26" s="108"/>
      <c r="B26" s="135"/>
      <c r="C26" s="135"/>
      <c r="D26" s="136"/>
      <c r="E26" s="136"/>
      <c r="F26" s="136"/>
      <c r="G26" s="112"/>
      <c r="H26" s="112"/>
      <c r="I26" s="136"/>
      <c r="J26" s="136"/>
      <c r="K26" s="136"/>
    </row>
    <row r="27" spans="1:11" ht="15.75">
      <c r="A27" s="108"/>
      <c r="B27" s="137">
        <v>8.11</v>
      </c>
      <c r="C27" s="145" t="s">
        <v>114</v>
      </c>
      <c r="D27" s="139">
        <f>SUMIF('[1]pivot מיוחד '!$C$59:$C$87,C27,'[1]pivot מיוחד '!$D$59:$D$87)/1000</f>
        <v>1668.1</v>
      </c>
      <c r="E27" s="139">
        <f>SUMIF('[1]pivot מיוחד '!$C$5:$C$58,C27,'[1]pivot מיוחד '!$D$5:$D$58)/1000</f>
        <v>1866.8</v>
      </c>
      <c r="F27" s="139">
        <f>SUMIF('[1]pivot מיוחד '!$C$59:$C$87,C27,'[1]pivot מיוחד '!$F$59:$F$87)/1000</f>
        <v>1643.7960800000003</v>
      </c>
      <c r="G27" s="139">
        <f>SUMIF('[1]pivot מיוחד '!$C$5:$C$58,E27,'[1]pivot מיוחד '!$D$5:$D$58)/1000</f>
        <v>0</v>
      </c>
      <c r="H27" s="139">
        <f t="shared" ref="H27:H43" si="4">F27+G27</f>
        <v>1643.7960800000003</v>
      </c>
      <c r="I27" s="139">
        <f>SUMIF('[1]pivot מיוחד '!$C$5:$C$65,C27,'[1]pivot מיוחד '!$F$5:$F$97)/1000</f>
        <v>1838.7508233333333</v>
      </c>
      <c r="J27" s="139">
        <f>SUMIF('[1]pivot מיוחד '!$C$59:$C$87,C27,'[1]pivot מיוחד '!$H$59:$H$87)/1000</f>
        <v>1786</v>
      </c>
      <c r="K27" s="140">
        <f>SUMIF('[1]pivot מיוחד '!$C$5:$C$58,C27,'[1]pivot מיוחד '!$H$5:$H$58)/1000</f>
        <v>2337</v>
      </c>
    </row>
    <row r="28" spans="1:11" ht="15.75">
      <c r="A28" s="108"/>
      <c r="B28" s="123">
        <v>8.1199999999999992</v>
      </c>
      <c r="C28" s="124" t="s">
        <v>115</v>
      </c>
      <c r="D28" s="125">
        <f>SUMIF('[1]pivot מיוחד '!$C$59:$C$87,C28,'[1]pivot מיוחד '!$D$59:$D$87)/1000</f>
        <v>12094.5</v>
      </c>
      <c r="E28" s="125">
        <f>SUMIF('[1]pivot מיוחד '!$C$5:$C$58,C28,'[1]pivot מיוחד '!$D$5:$D$58)/1000</f>
        <v>14562.6</v>
      </c>
      <c r="F28" s="125">
        <f>SUMIF('[1]pivot מיוחד '!$C$59:$C$87,C28,'[1]pivot מיוחד '!$F$59:$F$87)/1000</f>
        <v>12024.104960000002</v>
      </c>
      <c r="G28" s="125">
        <f>SUMIF('[1]pivot מיוחד '!$C$5:$C$58,E28,'[1]pivot מיוחד '!$D$5:$D$58)/1000</f>
        <v>0</v>
      </c>
      <c r="H28" s="125">
        <f t="shared" si="4"/>
        <v>12024.104960000002</v>
      </c>
      <c r="I28" s="125">
        <f>SUMIF('[1]pivot מיוחד '!$C$8:$C$25,C28,'[1]pivot מיוחד '!$F$8:$F$25)/1000</f>
        <v>14936.626489999999</v>
      </c>
      <c r="J28" s="125">
        <f>SUMIF('[1]pivot מיוחד '!$C$59:$C$87,C28,'[1]pivot מיוחד '!$H$59:$H$87)/1000</f>
        <v>13534</v>
      </c>
      <c r="K28" s="126">
        <f>SUMIF('[1]pivot מיוחד '!$C$5:$C$58,C28,'[1]pivot מיוחד '!$H$5:$H$58)/1000</f>
        <v>14831</v>
      </c>
    </row>
    <row r="29" spans="1:11" ht="15.75">
      <c r="A29" s="108"/>
      <c r="B29" s="123">
        <v>8.1300000000000008</v>
      </c>
      <c r="C29" s="124" t="s">
        <v>65</v>
      </c>
      <c r="D29" s="125">
        <f>SUMIF('[1]pivot מיוחד '!$C$59:$C$87,C29,'[1]pivot מיוחד '!$D$59:$D$87)/1000</f>
        <v>7169.2</v>
      </c>
      <c r="E29" s="125">
        <f>SUMIF('[1]pivot מיוחד '!$C$5:$C$58,C29,'[1]pivot מיוחד '!$D$5:$D$58)/1000</f>
        <v>4833.3999999999996</v>
      </c>
      <c r="F29" s="125">
        <f>SUMIF('[1]pivot מיוחד '!$C$59:$C$87,C29,'[1]pivot מיוחד '!$F$59:$F$87)/1000</f>
        <v>7503.3246500000014</v>
      </c>
      <c r="G29" s="125">
        <f>SUMIF('[1]pivot מיוחד '!$C$5:$C$58,E29,'[1]pivot מיוחד '!$D$5:$D$58)/1000</f>
        <v>0</v>
      </c>
      <c r="H29" s="125">
        <f t="shared" si="4"/>
        <v>7503.3246500000014</v>
      </c>
      <c r="I29" s="125">
        <f>SUMIF('[1]pivot מיוחד '!$C$8:$C$25,C29,'[1]pivot מיוחד '!$F$8:$F$25)/1000</f>
        <v>4845.1008600000014</v>
      </c>
      <c r="J29" s="125">
        <f>SUMIF('[1]pivot מיוחד '!$C$59:$C$87,C29,'[1]pivot מיוחד '!$H$59:$H$87)/1000</f>
        <v>7413</v>
      </c>
      <c r="K29" s="126">
        <f>SUMIF('[1]pivot מיוחד '!$C$5:$C$58,C29,'[1]pivot מיוחד '!$H$5:$H$58)/1000+GETPIVOTDATA("סכום של תקציב מאושר 2017",'[1]pivot מיוחד '!$A$3,"מיון משרד הפנים","פעולות חינוך","שם הסעיף","חינוך יסודי ","הכנסות/הוצאות","הוצאות")/1000</f>
        <v>5296</v>
      </c>
    </row>
    <row r="30" spans="1:11" ht="15.75">
      <c r="A30" s="108"/>
      <c r="B30" s="123">
        <v>8.1329999999999991</v>
      </c>
      <c r="C30" s="124" t="s">
        <v>66</v>
      </c>
      <c r="D30" s="125">
        <f>SUMIF('[1]pivot מיוחד '!$C$59:$C$87,C30,'[1]pivot מיוחד '!$D$59:$D$87)/1000</f>
        <v>4087.3</v>
      </c>
      <c r="E30" s="125">
        <f>SUMIF('[1]pivot מיוחד '!$C$5:$C$58,C30,'[1]pivot מיוחד '!$D$5:$D$58)/1000</f>
        <v>1374.2</v>
      </c>
      <c r="F30" s="125">
        <f>SUMIF('[1]pivot מיוחד '!$C$59:$C$87,C30,'[1]pivot מיוחד '!$F$59:$F$87)/1000</f>
        <v>4099.8432599999996</v>
      </c>
      <c r="G30" s="125">
        <f>SUMIF('[1]pivot מיוחד '!$C$5:$C$58,E30,'[1]pivot מיוחד '!$D$5:$D$58)/1000</f>
        <v>0</v>
      </c>
      <c r="H30" s="125">
        <f t="shared" si="4"/>
        <v>4099.8432599999996</v>
      </c>
      <c r="I30" s="125">
        <f>SUMIF('[1]pivot מיוחד '!$C$8:$C$25,C30,'[1]pivot מיוחד '!$F$8:$F$25)/1000</f>
        <v>1355.3284180000001</v>
      </c>
      <c r="J30" s="125">
        <f>SUMIF('[1]pivot מיוחד '!$C$59:$C$87,C30,'[1]pivot מיוחד '!$H$59:$H$87)/1000</f>
        <v>4615</v>
      </c>
      <c r="K30" s="126">
        <f>SUMIF('[1]pivot מיוחד '!$C$5:$C$58,C30,'[1]pivot מיוחד '!$H$5:$H$58)/1000</f>
        <v>1387</v>
      </c>
    </row>
    <row r="31" spans="1:11" ht="15.75">
      <c r="A31" s="108"/>
      <c r="B31" s="123">
        <v>8.14</v>
      </c>
      <c r="C31" s="124" t="s">
        <v>118</v>
      </c>
      <c r="D31" s="125">
        <f>SUMIF('[1]pivot מיוחד '!$C$59:$C$87,C31,'[1]pivot מיוחד '!$D$59:$D$87)/1000</f>
        <v>2482.5</v>
      </c>
      <c r="E31" s="125">
        <f>SUMIF('[1]pivot מיוחד '!$C$5:$C$58,C31,'[1]pivot מיוחד '!$D$5:$D$58)/1000</f>
        <v>1300.5</v>
      </c>
      <c r="F31" s="125">
        <f>SUMIF('[1]pivot מיוחד '!$C$59:$C$87,C31,'[1]pivot מיוחד '!$F$59:$F$87)/1000</f>
        <v>2590.1425599999998</v>
      </c>
      <c r="G31" s="125">
        <f>SUMIF('[1]pivot מיוחד '!$C$5:$C$58,E31,'[1]pivot מיוחד '!$D$5:$D$58)/1000</f>
        <v>0</v>
      </c>
      <c r="H31" s="125">
        <f t="shared" si="4"/>
        <v>2590.1425599999998</v>
      </c>
      <c r="I31" s="125">
        <f>SUMIF('[1]pivot מיוחד '!$C$8:$C$25,C31,'[1]pivot מיוחד '!$F$8:$F$25)/1000</f>
        <v>1409.65113</v>
      </c>
      <c r="J31" s="125">
        <f>SUMIF('[1]pivot מיוחד '!$C$59:$C$87,C31,'[1]pivot מיוחד '!$H$59:$H$87)/1000+60</f>
        <v>2574</v>
      </c>
      <c r="K31" s="126">
        <f>SUMIF('[1]pivot מיוחד '!$C$5:$C$58,C31,'[1]pivot מיוחד '!$H$5:$H$58)/1000+70</f>
        <v>1472</v>
      </c>
    </row>
    <row r="32" spans="1:11" ht="15.75">
      <c r="A32" s="108"/>
      <c r="B32" s="123">
        <v>8.1519999999999992</v>
      </c>
      <c r="C32" s="124" t="s">
        <v>119</v>
      </c>
      <c r="D32" s="125">
        <f>SUMIF('[1]pivot מיוחד '!$C$59:$C$87,C32,'[1]pivot מיוחד '!$D$59:$D$87)/1000</f>
        <v>33881.9</v>
      </c>
      <c r="E32" s="125">
        <f>SUMIF('[1]pivot מיוחד '!$C$5:$C$58,C32,'[1]pivot מיוחד '!$D$5:$D$58)/1000</f>
        <v>1846.6</v>
      </c>
      <c r="F32" s="125">
        <f>SUMIF('[1]pivot מיוחד '!$C$59:$C$87,C32,'[1]pivot מיוחד '!$F$59:$F$87)/1000</f>
        <v>35039.878800000006</v>
      </c>
      <c r="G32" s="125">
        <f>SUMIF('[1]pivot מיוחד '!$C$5:$C$58,E32,'[1]pivot מיוחד '!$D$5:$D$58)/1000</f>
        <v>0</v>
      </c>
      <c r="H32" s="125">
        <f t="shared" si="4"/>
        <v>35039.878800000006</v>
      </c>
      <c r="I32" s="125">
        <f>SUMIF('[1]pivot מיוחד '!$C$8:$C$25,C32,'[1]pivot מיוחד '!$F$8:$F$25)/1000</f>
        <v>1766.97217</v>
      </c>
      <c r="J32" s="125">
        <f>SUMIF('[1]pivot מיוחד '!$C$59:$C$87,C32,'[1]pivot מיוחד '!$H$59:$H$87)/1000</f>
        <v>35654</v>
      </c>
      <c r="K32" s="126">
        <f>SUMIF('[1]pivot מיוחד '!$C$5:$C$58,C32,'[1]pivot מיוחד '!$H$5:$H$58)/1000</f>
        <v>2049</v>
      </c>
    </row>
    <row r="33" spans="1:11" ht="15.75">
      <c r="A33" s="108"/>
      <c r="B33" s="123">
        <v>8.157</v>
      </c>
      <c r="C33" s="124" t="s">
        <v>120</v>
      </c>
      <c r="D33" s="125">
        <f>SUMIF('[1]pivot מיוחד '!$C$59:$C$87,C33,'[1]pivot מיוחד '!$D$59:$D$87)/1000</f>
        <v>464.4</v>
      </c>
      <c r="E33" s="125">
        <f>SUMIF('[1]pivot מיוחד '!$C$5:$C$58,C33,'[1]pivot מיוחד '!$D$5:$D$58)/1000</f>
        <v>267</v>
      </c>
      <c r="F33" s="125">
        <f>SUMIF('[1]pivot מיוחד '!$C$59:$C$87,C33,'[1]pivot מיוחד '!$F$59:$F$87)/1000</f>
        <v>488.74157000000002</v>
      </c>
      <c r="G33" s="125">
        <f>SUMIF('[1]pivot מיוחד '!$C$5:$C$58,E33,'[1]pivot מיוחד '!$D$5:$D$58)/1000</f>
        <v>0</v>
      </c>
      <c r="H33" s="125">
        <f t="shared" si="4"/>
        <v>488.74157000000002</v>
      </c>
      <c r="I33" s="125">
        <f>SUMIF('[1]pivot מיוחד '!$C$8:$C$25,C33,'[1]pivot מיוחד '!$F$8:$F$25)/1000</f>
        <v>256.895172</v>
      </c>
      <c r="J33" s="125">
        <f>SUMIF('[1]pivot מיוחד '!$C$59:$C$87,C33,'[1]pivot מיוחד '!$H$59:$H$87)/1000</f>
        <v>510</v>
      </c>
      <c r="K33" s="126">
        <f>SUMIF('[1]pivot מיוחד '!$C$5:$C$58,C33,'[1]pivot מיוחד '!$H$5:$H$58)/1000</f>
        <v>426</v>
      </c>
    </row>
    <row r="34" spans="1:11" ht="15.75">
      <c r="A34" s="108"/>
      <c r="B34" s="123">
        <v>8.1669999999999998</v>
      </c>
      <c r="C34" s="124" t="s">
        <v>121</v>
      </c>
      <c r="D34" s="125">
        <f>SUMIF('[1]pivot מיוחד '!$C$59:$C$87,C34,'[1]pivot מיוחד '!$D$59:$D$87)/1000</f>
        <v>0</v>
      </c>
      <c r="E34" s="125">
        <f>SUMIF('[1]pivot מיוחד '!$C$5:$C$58,C34,'[1]pivot מיוחד '!$D$5:$D$58)/1000</f>
        <v>505</v>
      </c>
      <c r="F34" s="125">
        <f>SUMIF('[1]pivot מיוחד '!$C$59:$C$87,C34,'[1]pivot מיוחד '!$F$59:$F$87)/1000</f>
        <v>0</v>
      </c>
      <c r="G34" s="125">
        <f>SUMIF('[1]pivot מיוחד '!$C$5:$C$58,E34,'[1]pivot מיוחד '!$D$5:$D$58)/1000</f>
        <v>0</v>
      </c>
      <c r="H34" s="125">
        <f t="shared" si="4"/>
        <v>0</v>
      </c>
      <c r="I34" s="125">
        <f>SUMIF('[1]pivot מיוחד '!$C$8:$C$25,C34,'[1]pivot מיוחד '!$F$8:$F$25)/1000</f>
        <v>503.99599999999998</v>
      </c>
      <c r="J34" s="125">
        <f>SUMIF('[1]pivot מיוחד '!$C$59:$C$87,C34,'[1]pivot מיוחד '!$H$59:$H$87)/1000</f>
        <v>0</v>
      </c>
      <c r="K34" s="126">
        <f>SUMIF('[1]pivot מיוחד '!$C$5:$C$58,C34,'[1]pivot מיוחד '!$H$5:$H$58)/1000</f>
        <v>505</v>
      </c>
    </row>
    <row r="35" spans="1:11" ht="15.75">
      <c r="A35" s="108"/>
      <c r="B35" s="123">
        <v>8.1709999999999994</v>
      </c>
      <c r="C35" s="124" t="s">
        <v>122</v>
      </c>
      <c r="D35" s="125">
        <f>SUMIF('[1]pivot מיוחד '!$C$59:$C$87,C35,'[1]pivot מיוחד '!$D$59:$D$87)/1000</f>
        <v>0</v>
      </c>
      <c r="E35" s="125">
        <f>SUMIF('[1]pivot מיוחד '!$C$5:$C$58,C35,'[1]pivot מיוחד '!$D$5:$D$58)/1000</f>
        <v>1702.8</v>
      </c>
      <c r="F35" s="125">
        <f>SUMIF('[1]pivot מיוחד '!$C$59:$C$87,C35,'[1]pivot מיוחד '!$F$59:$F$87)/1000</f>
        <v>0</v>
      </c>
      <c r="G35" s="125">
        <f>SUMIF('[1]pivot מיוחד '!$C$5:$C$58,E35,'[1]pivot מיוחד '!$D$5:$D$58)/1000</f>
        <v>0</v>
      </c>
      <c r="H35" s="125">
        <f t="shared" si="4"/>
        <v>0</v>
      </c>
      <c r="I35" s="125">
        <f>SUMIF('[1]pivot מיוחד '!$C$8:$C$25,C35,'[1]pivot מיוחד '!$F$8:$F$25)/1000</f>
        <v>1822.6629800000001</v>
      </c>
      <c r="J35" s="125">
        <f>SUMIF('[1]pivot מיוחד '!$C$59:$C$87,C35,'[1]pivot מיוחד '!$H$59:$H$87)/1000</f>
        <v>0</v>
      </c>
      <c r="K35" s="126">
        <f>SUMIF('[1]pivot מיוחד '!$C$5:$C$58,C35,'[1]pivot מיוחד '!$H$5:$H$58)/1000</f>
        <v>2123</v>
      </c>
    </row>
    <row r="36" spans="1:11" ht="15.75">
      <c r="A36" s="108"/>
      <c r="B36" s="123">
        <v>8.173</v>
      </c>
      <c r="C36" s="124" t="s">
        <v>123</v>
      </c>
      <c r="D36" s="125">
        <f>SUMIF('[1]pivot מיוחד '!$C$59:$C$87,C36,'[1]pivot מיוחד '!$D$59:$D$87)/1000</f>
        <v>2082.6</v>
      </c>
      <c r="E36" s="125">
        <f>SUMIF('[1]pivot מיוחד '!$C$5:$C$58,C36,'[1]pivot מיוחד '!$D$5:$D$58)/1000</f>
        <v>272</v>
      </c>
      <c r="F36" s="125">
        <f>SUMIF('[1]pivot מיוחד '!$C$59:$C$87,C36,'[1]pivot מיוחד '!$F$59:$F$87)/1000</f>
        <v>2235.5558899999996</v>
      </c>
      <c r="G36" s="125">
        <f>SUMIF('[1]pivot מיוחד '!$C$5:$C$58,E36,'[1]pivot מיוחד '!$D$5:$D$58)/1000</f>
        <v>0</v>
      </c>
      <c r="H36" s="125">
        <f t="shared" si="4"/>
        <v>2235.5558899999996</v>
      </c>
      <c r="I36" s="125">
        <f>SUMIF('[1]pivot מיוחד '!$C$8:$C$25,C36,'[1]pivot מיוחד '!$F$8:$F$25)/1000</f>
        <v>328.10811000000007</v>
      </c>
      <c r="J36" s="125">
        <f>SUMIF('[1]pivot מיוחד '!$C$59:$C$87,C36,'[1]pivot מיוחד '!$H$59:$H$87)/1000</f>
        <v>2303</v>
      </c>
      <c r="K36" s="126">
        <f>SUMIF('[1]pivot מיוחד '!$C$5:$C$58,C36,'[1]pivot מיוחד '!$H$5:$H$58)/1000</f>
        <v>378</v>
      </c>
    </row>
    <row r="37" spans="1:11" ht="15.75">
      <c r="A37" s="108"/>
      <c r="B37" s="123">
        <v>8.1731999999999996</v>
      </c>
      <c r="C37" s="124" t="s">
        <v>73</v>
      </c>
      <c r="D37" s="125">
        <f>SUMIF('[1]pivot מיוחד '!$C$59:$C$87,C37,'[1]pivot מיוחד '!$D$59:$D$87)/1000</f>
        <v>393.8</v>
      </c>
      <c r="E37" s="125">
        <f>SUMIF('[1]pivot מיוחד '!$C$5:$C$58,C37,'[1]pivot מיוחד '!$D$5:$D$58)/1000</f>
        <v>29</v>
      </c>
      <c r="F37" s="125">
        <f>SUMIF('[1]pivot מיוחד '!$C$59:$C$87,C37,'[1]pivot מיוחד '!$F$59:$F$87)/1000</f>
        <v>489.67193000000003</v>
      </c>
      <c r="G37" s="125">
        <f>SUMIF('[1]pivot מיוחד '!$C$5:$C$58,E37,'[1]pivot מיוחד '!$D$5:$D$58)/1000</f>
        <v>0</v>
      </c>
      <c r="H37" s="125">
        <f t="shared" si="4"/>
        <v>489.67193000000003</v>
      </c>
      <c r="I37" s="125">
        <f>SUMIF('[1]pivot מיוחד '!$C$8:$C$25,C37,'[1]pivot מיוחד '!$F$8:$F$25)/1000</f>
        <v>28.907629999999997</v>
      </c>
      <c r="J37" s="125">
        <f>SUMIF('[1]pivot מיוחד '!$C$59:$C$87,C37,'[1]pivot מיוחד '!$H$59:$H$87)/1000</f>
        <v>521</v>
      </c>
      <c r="K37" s="126">
        <f>SUMIF('[1]pivot מיוחד '!$C$5:$C$58,C37,'[1]pivot מיוחד '!$H$5:$H$58)/1000</f>
        <v>29</v>
      </c>
    </row>
    <row r="38" spans="1:11" ht="15.75">
      <c r="A38" s="108"/>
      <c r="B38" s="123">
        <v>8.1739999999999995</v>
      </c>
      <c r="C38" s="124" t="s">
        <v>124</v>
      </c>
      <c r="D38" s="125">
        <f>SUMIF('[1]pivot מיוחד '!$C$59:$C$87,C38,'[1]pivot מיוחד '!$D$59:$D$87)/1000</f>
        <v>201.1</v>
      </c>
      <c r="E38" s="125">
        <f>SUMIF('[1]pivot מיוחד '!$C$5:$C$58,C38,'[1]pivot מיוחד '!$D$5:$D$58)/1000</f>
        <v>230</v>
      </c>
      <c r="F38" s="125">
        <f>SUMIF('[1]pivot מיוחד '!$C$59:$C$87,C38,'[1]pivot מיוחד '!$F$59:$F$87)/1000</f>
        <v>197.29537999999999</v>
      </c>
      <c r="G38" s="125">
        <f>SUMIF('[1]pivot מיוחד '!$C$5:$C$58,E38,'[1]pivot מיוחד '!$D$5:$D$58)/1000</f>
        <v>0</v>
      </c>
      <c r="H38" s="125">
        <f t="shared" si="4"/>
        <v>197.29537999999999</v>
      </c>
      <c r="I38" s="125">
        <f>SUMIF('[1]pivot מיוחד '!$C$8:$C$25,C38,'[1]pivot מיוחד '!$F$8:$F$25)/1000</f>
        <v>230</v>
      </c>
      <c r="J38" s="125">
        <f>SUMIF('[1]pivot מיוחד '!$C$59:$C$87,C38,'[1]pivot מיוחד '!$H$59:$H$87)/1000</f>
        <v>214</v>
      </c>
      <c r="K38" s="126">
        <f>SUMIF('[1]pivot מיוחד '!$C$5:$C$58,C38,'[1]pivot מיוחד '!$H$5:$H$58)/1000</f>
        <v>196</v>
      </c>
    </row>
    <row r="39" spans="1:11" ht="15.75">
      <c r="A39" s="108"/>
      <c r="B39" s="123">
        <v>8.1739999999999995</v>
      </c>
      <c r="C39" s="124" t="s">
        <v>125</v>
      </c>
      <c r="D39" s="125">
        <f>SUMIF('[1]pivot מיוחד '!$C$59:$C$87,C39,'[1]pivot מיוחד '!$D$59:$D$87)/1000</f>
        <v>0</v>
      </c>
      <c r="E39" s="125">
        <f>SUMIF('[1]pivot מיוחד '!$C$5:$C$58,C39,'[1]pivot מיוחד '!$D$5:$D$58)/1000</f>
        <v>412</v>
      </c>
      <c r="F39" s="125">
        <f>SUMIF('[1]pivot מיוחד '!$C$59:$C$87,C39,'[1]pivot מיוחד '!$F$59:$F$87)/1000</f>
        <v>0</v>
      </c>
      <c r="G39" s="125">
        <f>SUMIF('[1]pivot מיוחד '!$C$5:$C$58,E39,'[1]pivot מיוחד '!$D$5:$D$58)/1000</f>
        <v>0</v>
      </c>
      <c r="H39" s="125">
        <f t="shared" si="4"/>
        <v>0</v>
      </c>
      <c r="I39" s="125">
        <f>SUMIF('[1]pivot מיוחד '!$C$8:$C$25,C39,'[1]pivot מיוחד '!$F$8:$F$25)/1000</f>
        <v>230.8</v>
      </c>
      <c r="J39" s="125">
        <f>SUMIF('[1]pivot מיוחד '!$C$59:$C$87,C39,'[1]pivot מיוחד '!$H$59:$H$87)/1000</f>
        <v>0</v>
      </c>
      <c r="K39" s="126">
        <f>SUMIF('[1]pivot מיוחד '!$C$5:$C$58,C39,'[1]pivot מיוחד '!$H$5:$H$58)/1000</f>
        <v>205</v>
      </c>
    </row>
    <row r="40" spans="1:11" ht="15.75">
      <c r="A40" s="108"/>
      <c r="B40" s="123">
        <v>8.1760000000000002</v>
      </c>
      <c r="C40" s="124" t="s">
        <v>126</v>
      </c>
      <c r="D40" s="125">
        <f>SUMIF('[1]pivot מיוחד '!$C$59:$C$87,C40,'[1]pivot מיוחד '!$D$59:$D$87)/1000</f>
        <v>0</v>
      </c>
      <c r="E40" s="125">
        <f>SUMIF('[1]pivot מיוחד '!$C$5:$C$58,C40,'[1]pivot מיוחד '!$D$5:$D$58)/1000</f>
        <v>10</v>
      </c>
      <c r="F40" s="125">
        <f>SUMIF('[1]pivot מיוחד '!$C$59:$C$87,C40,'[1]pivot מיוחד '!$F$59:$F$87)/1000</f>
        <v>0</v>
      </c>
      <c r="G40" s="125">
        <f>SUMIF('[1]pivot מיוחד '!$C$5:$C$58,E40,'[1]pivot מיוחד '!$D$5:$D$58)/1000</f>
        <v>0</v>
      </c>
      <c r="H40" s="125">
        <f t="shared" si="4"/>
        <v>0</v>
      </c>
      <c r="I40" s="125">
        <f>SUMIF('[1]pivot מיוחד '!$C$8:$C$25,C40,'[1]pivot מיוחד '!$F$8:$F$25)/1000</f>
        <v>10</v>
      </c>
      <c r="J40" s="125">
        <f>SUMIF('[1]pivot מיוחד '!$C$59:$C$87,C40,'[1]pivot מיוחד '!$H$59:$H$87)/1000</f>
        <v>0</v>
      </c>
      <c r="K40" s="126">
        <f>SUMIF('[1]pivot מיוחד '!$C$5:$C$58,C40,'[1]pivot מיוחד '!$H$5:$H$58)/1000</f>
        <v>10</v>
      </c>
    </row>
    <row r="41" spans="1:11" ht="15.75">
      <c r="A41" s="108"/>
      <c r="B41" s="123">
        <v>8.1769999999999996</v>
      </c>
      <c r="C41" s="124" t="s">
        <v>77</v>
      </c>
      <c r="D41" s="125">
        <f>SUMIF('[1]pivot מיוחד '!$C$59:$C$87,C41,'[1]pivot מיוחד '!$D$59:$D$87)/1000</f>
        <v>320</v>
      </c>
      <c r="E41" s="125">
        <f>SUMIF('[1]pivot מיוחד '!$C$5:$C$58,C41,'[1]pivot מיוחד '!$D$5:$D$58)/1000</f>
        <v>0</v>
      </c>
      <c r="F41" s="125">
        <f>SUMIF('[1]pivot מיוחד '!$C$59:$C$87,C41,'[1]pivot מיוחד '!$F$59:$F$87)/1000</f>
        <v>322.88945000000007</v>
      </c>
      <c r="G41" s="125">
        <f>SUMIF('[1]pivot מיוחד '!$C$5:$C$58,E41,'[1]pivot מיוחד '!$D$5:$D$58)/1000</f>
        <v>0</v>
      </c>
      <c r="H41" s="125">
        <f t="shared" si="4"/>
        <v>322.88945000000007</v>
      </c>
      <c r="I41" s="125">
        <f>SUMIF('[1]pivot מיוחד '!$C$8:$C$25,C41,'[1]pivot מיוחד '!$F$8:$F$25)/1000</f>
        <v>0</v>
      </c>
      <c r="J41" s="125">
        <f>SUMIF('[1]pivot מיוחד '!$C$59:$C$87,C41,'[1]pivot מיוחד '!$H$59:$H$87)/1000</f>
        <v>329</v>
      </c>
      <c r="K41" s="126">
        <f>SUMIF('[1]pivot מיוחד '!$C$5:$C$58,C41,'[1]pivot מיוחד '!$H$5:$H$58)/1000</f>
        <v>0</v>
      </c>
    </row>
    <row r="42" spans="1:11" ht="15.75">
      <c r="A42" s="108"/>
      <c r="B42" s="123">
        <v>8.1780000000000008</v>
      </c>
      <c r="C42" s="124" t="s">
        <v>128</v>
      </c>
      <c r="D42" s="125">
        <f>SUMIF('[1]pivot מיוחד '!$C$59:$C$87,C42,'[1]pivot מיוחד '!$D$59:$D$87)/1000</f>
        <v>1438.8</v>
      </c>
      <c r="E42" s="125">
        <f>SUMIF('[1]pivot מיוחד '!$C$5:$C$58,C42,'[1]pivot מיוחד '!$D$5:$D$58)/1000</f>
        <v>3038</v>
      </c>
      <c r="F42" s="125">
        <f>SUMIF('[1]pivot מיוחד '!$C$59:$C$87,C42,'[1]pivot מיוחד '!$F$59:$F$87)/1000</f>
        <v>1687.0235300000002</v>
      </c>
      <c r="G42" s="125">
        <f>SUMIF('[1]pivot מיוחד '!$C$5:$C$58,E42,'[1]pivot מיוחד '!$D$5:$D$58)/1000</f>
        <v>0</v>
      </c>
      <c r="H42" s="125">
        <f t="shared" si="4"/>
        <v>1687.0235300000002</v>
      </c>
      <c r="I42" s="125">
        <f>SUMIF('[1]pivot מיוחד '!$C$8:$C$25,C42,'[1]pivot מיוחד '!$F$8:$F$25)/1000</f>
        <v>3209.01872</v>
      </c>
      <c r="J42" s="125">
        <f>SUMIF('[1]pivot מיוחד '!$C$59:$C$87,C42,'[1]pivot מיוחד '!$H$59:$H$87)/1000</f>
        <v>1725</v>
      </c>
      <c r="K42" s="126">
        <f>SUMIF('[1]pivot מיוחד '!$C$5:$C$58,C42,'[1]pivot מיוחד '!$H$5:$H$58)/1000</f>
        <v>3251</v>
      </c>
    </row>
    <row r="43" spans="1:11" ht="16.5" thickBot="1">
      <c r="A43" s="108"/>
      <c r="B43" s="127">
        <v>8.1790000000000003</v>
      </c>
      <c r="C43" s="128" t="s">
        <v>129</v>
      </c>
      <c r="D43" s="129">
        <f>SUMIF('[1]pivot מיוחד '!$C$59:$C$87,C43,'[1]pivot מיוחד '!$D$59:$D$87)/1000</f>
        <v>0</v>
      </c>
      <c r="E43" s="129">
        <f>SUMIF('[1]pivot מיוחד '!$C$5:$C$58,C43,'[1]pivot מיוחד '!$D$5:$D$58)/1000</f>
        <v>60</v>
      </c>
      <c r="F43" s="129">
        <f>SUMIF('[1]pivot מיוחד '!$C$59:$C$87,C43,'[1]pivot מיוחד '!$F$59:$F$87)/1000</f>
        <v>0</v>
      </c>
      <c r="G43" s="129">
        <f>SUMIF('[1]pivot מיוחד '!$C$5:$C$58,E43,'[1]pivot מיוחד '!$D$5:$D$58)/1000</f>
        <v>0</v>
      </c>
      <c r="H43" s="129">
        <f t="shared" si="4"/>
        <v>0</v>
      </c>
      <c r="I43" s="129">
        <f>SUMIF('[1]pivot מיוחד '!$C$8:$C$25,C43,'[1]pivot מיוחד '!$F$8:$F$25)/1000</f>
        <v>16.126000000000001</v>
      </c>
      <c r="J43" s="129">
        <f>SUMIF('[1]pivot מיוחד '!$C$59:$C$87,C43,'[1]pivot מיוחד '!$H$59:$H$87)/1000</f>
        <v>0</v>
      </c>
      <c r="K43" s="130">
        <f>SUMIF('[1]pivot מיוחד '!$C$5:$C$58,C43,'[1]pivot מיוחד '!$H$5:$H$58)/1000</f>
        <v>39</v>
      </c>
    </row>
    <row r="44" spans="1:11" ht="18.75" thickBot="1">
      <c r="A44" s="108"/>
      <c r="B44" s="131">
        <v>8</v>
      </c>
      <c r="C44" s="132" t="s">
        <v>79</v>
      </c>
      <c r="D44" s="158">
        <f>SUM(D27:D43)</f>
        <v>66284.2</v>
      </c>
      <c r="E44" s="158">
        <f>SUM(E27:E43)-1</f>
        <v>32308.9</v>
      </c>
      <c r="F44" s="158">
        <f>SUM(F27:F43)</f>
        <v>68322.268060000002</v>
      </c>
      <c r="G44" s="158">
        <f t="shared" ref="G44:H44" si="5">SUM(G27:G43)</f>
        <v>0</v>
      </c>
      <c r="H44" s="158">
        <f t="shared" si="5"/>
        <v>68322.268060000002</v>
      </c>
      <c r="I44" s="158">
        <f>SUM(I27:I43)</f>
        <v>32788.944503333332</v>
      </c>
      <c r="J44" s="158">
        <f>SUM(J27:J43)</f>
        <v>71178</v>
      </c>
      <c r="K44" s="159">
        <f t="shared" ref="K44" si="6">SUM(K27:K43)</f>
        <v>34534</v>
      </c>
    </row>
    <row r="45" spans="1:11" ht="15.75">
      <c r="A45" s="108"/>
      <c r="B45" s="369"/>
      <c r="C45" s="369"/>
      <c r="D45" s="112"/>
      <c r="E45" s="112"/>
      <c r="F45" s="112"/>
      <c r="G45" s="112"/>
      <c r="H45" s="112"/>
      <c r="I45" s="112"/>
      <c r="J45" s="112"/>
      <c r="K45" s="112"/>
    </row>
    <row r="46" spans="1:11" ht="20.25">
      <c r="A46" s="108"/>
      <c r="B46" s="370" t="s">
        <v>130</v>
      </c>
      <c r="C46" s="370"/>
      <c r="D46" s="112"/>
      <c r="E46" s="112"/>
      <c r="F46" s="112"/>
      <c r="G46" s="112"/>
      <c r="H46" s="112"/>
      <c r="I46" s="112"/>
      <c r="J46" s="112"/>
      <c r="K46" s="112"/>
    </row>
    <row r="47" spans="1:11" ht="16.5" thickBot="1">
      <c r="A47" s="108"/>
      <c r="B47" s="151"/>
      <c r="C47" s="151"/>
      <c r="D47" s="112"/>
      <c r="E47" s="112"/>
      <c r="F47" s="112"/>
      <c r="G47" s="112"/>
      <c r="H47" s="112"/>
      <c r="I47" s="112"/>
      <c r="J47" s="112"/>
      <c r="K47" s="112"/>
    </row>
    <row r="48" spans="1:11" ht="15.75" customHeight="1">
      <c r="A48" s="108"/>
      <c r="B48" s="285"/>
      <c r="C48" s="286"/>
      <c r="D48" s="371" t="str">
        <f>D10</f>
        <v>תקציב לשנת 2016</v>
      </c>
      <c r="E48" s="372"/>
      <c r="F48" s="371" t="str">
        <f>F10</f>
        <v>אומדן ביצוע לשנת 2016</v>
      </c>
      <c r="G48" s="373"/>
      <c r="H48" s="373"/>
      <c r="I48" s="372"/>
      <c r="J48" s="371" t="str">
        <f>J10</f>
        <v>הצעת תקציב 
לשנת 2017</v>
      </c>
      <c r="K48" s="374"/>
    </row>
    <row r="49" spans="1:11" ht="16.5" thickBot="1">
      <c r="A49" s="108"/>
      <c r="B49" s="287" t="s">
        <v>42</v>
      </c>
      <c r="C49" s="288" t="s">
        <v>43</v>
      </c>
      <c r="D49" s="116" t="s">
        <v>105</v>
      </c>
      <c r="E49" s="117" t="s">
        <v>36</v>
      </c>
      <c r="F49" s="116" t="s">
        <v>105</v>
      </c>
      <c r="G49" s="117" t="s">
        <v>36</v>
      </c>
      <c r="H49" s="116" t="s">
        <v>105</v>
      </c>
      <c r="I49" s="117" t="s">
        <v>36</v>
      </c>
      <c r="J49" s="116" t="s">
        <v>105</v>
      </c>
      <c r="K49" s="118" t="s">
        <v>36</v>
      </c>
    </row>
    <row r="50" spans="1:11" ht="15.75">
      <c r="A50" s="108"/>
      <c r="B50" s="152">
        <v>8.2200000000000006</v>
      </c>
      <c r="C50" s="153" t="s">
        <v>131</v>
      </c>
      <c r="D50" s="121">
        <f>SUMIF('[1]pivot מיוחד '!$C$59:$C$87,C50,'[1]pivot מיוחד '!$D$59:$D$87)/1000</f>
        <v>0</v>
      </c>
      <c r="E50" s="121">
        <f>SUMIF('[1]pivot מיוחד '!$C$5:$C$58,C50,'[1]pivot מיוחד '!$D$5:$D$58)/1000</f>
        <v>127.4</v>
      </c>
      <c r="F50" s="121">
        <f>SUMIF('[1]pivot מיוחד '!$C$59:$C$87,C50,'[1]pivot מיוחד '!$F$59:$F$87)/1000</f>
        <v>0</v>
      </c>
      <c r="G50" s="121">
        <f>SUMIF('[1]pivot מיוחד '!$C$5:$C$58,E50,'[1]pivot מיוחד '!$D$5:$D$58)/1000</f>
        <v>0</v>
      </c>
      <c r="H50" s="121">
        <f t="shared" ref="H50:H58" si="7">F50+G50</f>
        <v>0</v>
      </c>
      <c r="I50" s="121">
        <f>SUMIF('[1]pivot מיוחד '!$C$5:$C$65,C50,'[1]pivot מיוחד '!$F$5:$F$97)/1000</f>
        <v>125</v>
      </c>
      <c r="J50" s="121">
        <f>SUMIF('[1]pivot מיוחד '!$C$59:$C$87,C50,'[1]pivot מיוחד '!$H$59:$H$87)/1000</f>
        <v>0</v>
      </c>
      <c r="K50" s="122">
        <f>SUMIF('[1]pivot מיוחד '!$C$5:$C$58,C50,'[1]pivot מיוחד '!$H$5:$H$58)/1000</f>
        <v>125</v>
      </c>
    </row>
    <row r="51" spans="1:11" ht="15.75">
      <c r="A51" s="108"/>
      <c r="B51" s="154">
        <v>8.2200000000000006</v>
      </c>
      <c r="C51" s="155" t="s">
        <v>132</v>
      </c>
      <c r="D51" s="125">
        <f>SUMIF('[1]pivot מיוחד '!$C$59:$C$87,C51,'[1]pivot מיוחד '!$D$59:$D$87)/1000</f>
        <v>0</v>
      </c>
      <c r="E51" s="125">
        <f>SUMIF('[1]pivot מיוחד '!$C$5:$C$58,C51,'[1]pivot מיוחד '!$D$5:$D$58)/1000</f>
        <v>200</v>
      </c>
      <c r="F51" s="125">
        <f>SUMIF('[1]pivot מיוחד '!$C$59:$C$87,C51,'[1]pivot מיוחד '!$F$59:$F$87)/1000</f>
        <v>0</v>
      </c>
      <c r="G51" s="125">
        <f>SUMIF('[1]pivot מיוחד '!$C$5:$C$58,E51,'[1]pivot מיוחד '!$D$5:$D$58)/1000</f>
        <v>0</v>
      </c>
      <c r="H51" s="125">
        <f t="shared" si="7"/>
        <v>0</v>
      </c>
      <c r="I51" s="125">
        <f>SUMIF('[1]pivot מיוחד '!$C$5:$C$65,C51,'[1]pivot מיוחד '!$F$5:$F$97)/1000</f>
        <v>218.34</v>
      </c>
      <c r="J51" s="125">
        <f>SUMIF('[1]pivot מיוחד '!$C$59:$C$87,C51,'[1]pivot מיוחד '!$H$59:$H$87)/1000</f>
        <v>0</v>
      </c>
      <c r="K51" s="126">
        <f>SUMIF('[1]pivot מיוחד '!$C$5:$C$58,C51,'[1]pivot מיוחד '!$H$5:$H$58)/1000</f>
        <v>190</v>
      </c>
    </row>
    <row r="52" spans="1:11" ht="15.75">
      <c r="A52" s="108"/>
      <c r="B52" s="123">
        <v>8.24</v>
      </c>
      <c r="C52" s="155" t="s">
        <v>133</v>
      </c>
      <c r="D52" s="125">
        <f>SUMIF('[1]pivot מיוחד '!$C$59:$C$87,C52,'[1]pivot מיוחד '!$D$59:$D$87)/1000</f>
        <v>0</v>
      </c>
      <c r="E52" s="125">
        <f>SUMIF('[1]pivot מיוחד '!$C$5:$C$58,C52,'[1]pivot מיוחד '!$D$5:$D$58)/1000</f>
        <v>1048</v>
      </c>
      <c r="F52" s="125">
        <f>SUMIF('[1]pivot מיוחד '!$C$59:$C$87,C52,'[1]pivot מיוחד '!$F$59:$F$87)/1000</f>
        <v>0</v>
      </c>
      <c r="G52" s="125">
        <f>SUMIF('[1]pivot מיוחד '!$C$5:$C$58,E52,'[1]pivot מיוחד '!$D$5:$D$58)/1000</f>
        <v>0</v>
      </c>
      <c r="H52" s="125">
        <f t="shared" si="7"/>
        <v>0</v>
      </c>
      <c r="I52" s="125">
        <f>SUMIF('[1]pivot מיוחד '!$C$5:$C$65,C52,'[1]pivot מיוחד '!$F$5:$F$97)/1000</f>
        <v>1198</v>
      </c>
      <c r="J52" s="125">
        <f>SUMIF('[1]pivot מיוחד '!$C$59:$C$87,C52,'[1]pivot מיוחד '!$H$59:$H$87)/1000</f>
        <v>0</v>
      </c>
      <c r="K52" s="126">
        <f>SUMIF('[1]pivot מיוחד '!$C$5:$C$58,C52,'[1]pivot מיוחד '!$H$5:$H$58)/1000</f>
        <v>1148</v>
      </c>
    </row>
    <row r="53" spans="1:11" ht="15.75">
      <c r="A53" s="108"/>
      <c r="B53" s="123">
        <v>8.24</v>
      </c>
      <c r="C53" s="155" t="s">
        <v>134</v>
      </c>
      <c r="D53" s="125">
        <f>SUMIF('[1]pivot מיוחד '!$C$59:$C$87,C53,'[1]pivot מיוחד '!$D$59:$D$87)/1000</f>
        <v>0</v>
      </c>
      <c r="E53" s="125">
        <f>SUMIF('[1]pivot מיוחד '!$C$5:$C$58,C53,'[1]pivot מיוחד '!$D$5:$D$58)/1000</f>
        <v>490</v>
      </c>
      <c r="F53" s="125">
        <f>SUMIF('[1]pivot מיוחד '!$C$59:$C$87,C53,'[1]pivot מיוחד '!$F$59:$F$87)/1000</f>
        <v>0</v>
      </c>
      <c r="G53" s="125">
        <f>SUMIF('[1]pivot מיוחד '!$C$5:$C$58,E53,'[1]pivot מיוחד '!$D$5:$D$58)/1000</f>
        <v>0</v>
      </c>
      <c r="H53" s="125">
        <f t="shared" si="7"/>
        <v>0</v>
      </c>
      <c r="I53" s="125">
        <f>SUMIF('[1]pivot מיוחד '!$C$5:$C$65,C53,'[1]pivot מיוחד '!$F$5:$F$97)/1000</f>
        <v>480</v>
      </c>
      <c r="J53" s="125">
        <f>SUMIF('[1]pivot מיוחד '!$C$59:$C$87,C53,'[1]pivot מיוחד '!$H$59:$H$87)/1000</f>
        <v>0</v>
      </c>
      <c r="K53" s="126">
        <f>SUMIF('[1]pivot מיוחד '!$C$5:$C$58,C53,'[1]pivot מיוחד '!$H$5:$H$58)/1000</f>
        <v>580</v>
      </c>
    </row>
    <row r="54" spans="1:11" ht="15.75">
      <c r="A54" s="108"/>
      <c r="B54" s="123">
        <v>8.24</v>
      </c>
      <c r="C54" s="155" t="s">
        <v>135</v>
      </c>
      <c r="D54" s="125">
        <f>SUMIF('[1]pivot מיוחד '!$C$59:$C$87,C54,'[1]pivot מיוחד '!$D$59:$D$87)/1000</f>
        <v>0</v>
      </c>
      <c r="E54" s="125">
        <f>SUMIF('[1]pivot מיוחד '!$C$5:$C$58,C54,'[1]pivot מיוחד '!$D$5:$D$58)/1000</f>
        <v>780</v>
      </c>
      <c r="F54" s="125">
        <f>SUMIF('[1]pivot מיוחד '!$C$59:$C$87,C54,'[1]pivot מיוחד '!$F$59:$F$87)/1000</f>
        <v>0</v>
      </c>
      <c r="G54" s="125">
        <f>SUMIF('[1]pivot מיוחד '!$C$5:$C$58,E54,'[1]pivot מיוחד '!$D$5:$D$58)/1000</f>
        <v>0</v>
      </c>
      <c r="H54" s="125">
        <f t="shared" si="7"/>
        <v>0</v>
      </c>
      <c r="I54" s="125">
        <f>SUMIF('[1]pivot מיוחד '!$C$5:$C$65,C54,'[1]pivot מיוחד '!$F$5:$F$97)/1000</f>
        <v>802.80799999999999</v>
      </c>
      <c r="J54" s="125">
        <f>SUMIF('[1]pivot מיוחד '!$C$59:$C$87,C54,'[1]pivot מיוחד '!$H$59:$H$87)/1000</f>
        <v>0</v>
      </c>
      <c r="K54" s="126">
        <f>SUMIF('[1]pivot מיוחד '!$C$5:$C$58,C54,'[1]pivot מיוחד '!$H$5:$H$58)/1000</f>
        <v>800</v>
      </c>
    </row>
    <row r="55" spans="1:11" ht="15.75">
      <c r="A55" s="108"/>
      <c r="B55" s="123">
        <v>8.25</v>
      </c>
      <c r="C55" s="155" t="s">
        <v>137</v>
      </c>
      <c r="D55" s="125">
        <f>SUMIF('[1]pivot מיוחד '!$C$59:$C$87,C55,'[1]pivot מיוחד '!$D$59:$D$87)/1000</f>
        <v>391.3</v>
      </c>
      <c r="E55" s="125">
        <f>SUMIF('[1]pivot מיוחד '!$C$5:$C$58,C55,'[1]pivot מיוחד '!$D$5:$D$58)/1000</f>
        <v>220</v>
      </c>
      <c r="F55" s="125">
        <f>SUMIF('[1]pivot מיוחד '!$C$59:$C$87,C55,'[1]pivot מיוחד '!$F$59:$F$87)/1000</f>
        <v>392.46294999999998</v>
      </c>
      <c r="G55" s="125">
        <f>SUMIF('[1]pivot מיוחד '!$C$5:$C$58,E55,'[1]pivot מיוחד '!$D$5:$D$58)/1000</f>
        <v>0</v>
      </c>
      <c r="H55" s="125">
        <f t="shared" si="7"/>
        <v>392.46294999999998</v>
      </c>
      <c r="I55" s="125">
        <f>SUMIF('[1]pivot מיוחד '!$C$5:$C$65,C55,'[1]pivot מיוחד '!$F$5:$F$97)/1000</f>
        <v>201.50399999999999</v>
      </c>
      <c r="J55" s="125">
        <f>SUMIF('[1]pivot מיוחד '!$C$59:$C$87,C55,'[1]pivot מיוחד '!$H$59:$H$87)/1000</f>
        <v>403</v>
      </c>
      <c r="K55" s="126">
        <f>SUMIF('[1]pivot מיוחד '!$C$5:$C$58,C55,'[1]pivot מיוחד '!$H$5:$H$58)/1000</f>
        <v>270</v>
      </c>
    </row>
    <row r="56" spans="1:11" ht="15.75">
      <c r="A56" s="108"/>
      <c r="B56" s="123">
        <v>8.27</v>
      </c>
      <c r="C56" s="155" t="s">
        <v>139</v>
      </c>
      <c r="D56" s="125">
        <f>SUMIF('[1]pivot מיוחד '!$C$59:$C$87,C56,'[1]pivot מיוחד '!$D$59:$D$87)/1000</f>
        <v>146.5</v>
      </c>
      <c r="E56" s="125">
        <f>SUMIF('[1]pivot מיוחד '!$C$5:$C$58,C56,'[1]pivot מיוחד '!$D$5:$D$58)/1000</f>
        <v>396</v>
      </c>
      <c r="F56" s="125">
        <f>SUMIF('[1]pivot מיוחד '!$C$59:$C$87,C56,'[1]pivot מיוחד '!$F$59:$F$87)/1000</f>
        <v>152.82922000000002</v>
      </c>
      <c r="G56" s="125">
        <f>SUMIF('[1]pivot מיוחד '!$C$5:$C$58,E56,'[1]pivot מיוחד '!$D$5:$D$58)/1000</f>
        <v>0</v>
      </c>
      <c r="H56" s="125">
        <f t="shared" si="7"/>
        <v>152.82922000000002</v>
      </c>
      <c r="I56" s="125">
        <f>SUMIF('[1]pivot מיוחד '!$C$5:$C$65,C56,'[1]pivot מיוחד '!$F$5:$F$97)/1000</f>
        <v>394.0326</v>
      </c>
      <c r="J56" s="125">
        <f>SUMIF('[1]pivot מיוחד '!$C$59:$C$87,C56,'[1]pivot מיוחד '!$H$59:$H$87)/1000</f>
        <v>157</v>
      </c>
      <c r="K56" s="126">
        <f>SUMIF('[1]pivot מיוחד '!$C$5:$C$58,C56,'[1]pivot מיוחד '!$H$5:$H$58)/1000</f>
        <v>426</v>
      </c>
    </row>
    <row r="57" spans="1:11" ht="15.75">
      <c r="A57" s="108"/>
      <c r="B57" s="123">
        <v>8.2799999999999994</v>
      </c>
      <c r="C57" s="155" t="s">
        <v>81</v>
      </c>
      <c r="D57" s="125">
        <f>SUMIF('[1]pivot מיוחד '!$C$59:$C$87,C57,'[1]pivot מיוחד '!$D$59:$D$87)/1000</f>
        <v>1383.5</v>
      </c>
      <c r="E57" s="125">
        <f>SUMIF('[1]pivot מיוחד '!$C$5:$C$58,C57,'[1]pivot מיוחד '!$D$5:$D$58)/1000</f>
        <v>283</v>
      </c>
      <c r="F57" s="125">
        <f>SUMIF('[1]pivot מיוחד '!$C$59:$C$87,C57,'[1]pivot מיוחד '!$F$59:$F$87)/1000</f>
        <v>1448.6993</v>
      </c>
      <c r="G57" s="125">
        <f>SUMIF('[1]pivot מיוחד '!$C$5:$C$58,E57,'[1]pivot מיוחד '!$D$5:$D$58)/1000</f>
        <v>0</v>
      </c>
      <c r="H57" s="125">
        <f t="shared" si="7"/>
        <v>1448.6993</v>
      </c>
      <c r="I57" s="125">
        <f>SUMIF('[1]pivot מיוחד '!$C$5:$C$65,C57,'[1]pivot מיוחד '!$F$5:$F$97)/1000</f>
        <v>258.42867000000001</v>
      </c>
      <c r="J57" s="125">
        <f>SUMIF('[1]pivot מיוחד '!$C$59:$C$87,C57,'[1]pivot מיוחד '!$H$59:$H$87)/1000</f>
        <v>1483</v>
      </c>
      <c r="K57" s="126">
        <f>SUMIF('[1]pivot מיוחד '!$C$5:$C$58,C57,'[1]pivot מיוחד '!$H$5:$H$58)/1000</f>
        <v>483</v>
      </c>
    </row>
    <row r="58" spans="1:11" ht="16.5" thickBot="1">
      <c r="A58" s="108"/>
      <c r="B58" s="127">
        <v>8.2910000000000004</v>
      </c>
      <c r="C58" s="156" t="s">
        <v>82</v>
      </c>
      <c r="D58" s="129">
        <f>SUMIF('[1]pivot מיוחד '!$C$59:$C$87,C58,'[1]pivot מיוחד '!$D$59:$D$87)/1000</f>
        <v>3324.7</v>
      </c>
      <c r="E58" s="129">
        <f>SUMIF('[1]pivot מיוחד '!$C$5:$C$58,C58,'[1]pivot מיוחד '!$D$5:$D$58)/1000</f>
        <v>3468</v>
      </c>
      <c r="F58" s="129">
        <f>SUMIF('[1]pivot מיוחד '!$C$59:$C$87,C58,'[1]pivot מיוחד '!$F$59:$F$87)/1000</f>
        <v>3469.4032500000003</v>
      </c>
      <c r="G58" s="129">
        <f>SUMIF('[1]pivot מיוחד '!$C$5:$C$58,E58,'[1]pivot מיוחד '!$D$5:$D$58)/1000</f>
        <v>0</v>
      </c>
      <c r="H58" s="129">
        <f t="shared" si="7"/>
        <v>3469.4032500000003</v>
      </c>
      <c r="I58" s="129">
        <f>SUMIF('[1]pivot מיוחד '!$C$5:$C$65,C58,'[1]pivot מיוחד '!$F$5:$F$97)/1000</f>
        <v>3174.278812</v>
      </c>
      <c r="J58" s="129">
        <f>SUMIF('[1]pivot מיוחד '!$C$59:$C$87,C58,'[1]pivot מיוחד '!$H$59:$H$87)/1000</f>
        <v>3503</v>
      </c>
      <c r="K58" s="130">
        <f>SUMIF('[1]pivot מיוחד '!$C$5:$C$58,C58,'[1]pivot מיוחד '!$H$5:$H$58)/1000+17</f>
        <v>3266</v>
      </c>
    </row>
    <row r="59" spans="1:11" ht="18.75" thickBot="1">
      <c r="A59" s="108"/>
      <c r="B59" s="131"/>
      <c r="C59" s="157" t="s">
        <v>83</v>
      </c>
      <c r="D59" s="158">
        <f>SUM(D50:D58)</f>
        <v>5246</v>
      </c>
      <c r="E59" s="158">
        <f t="shared" ref="E59:I59" si="8">SUM(E50:E58)</f>
        <v>7012.4</v>
      </c>
      <c r="F59" s="158">
        <f>SUM(F50:F58)</f>
        <v>5463.3947200000002</v>
      </c>
      <c r="G59" s="158">
        <f t="shared" si="8"/>
        <v>0</v>
      </c>
      <c r="H59" s="158">
        <f t="shared" si="8"/>
        <v>5463.3947200000002</v>
      </c>
      <c r="I59" s="158">
        <f t="shared" si="8"/>
        <v>6852.3920820000003</v>
      </c>
      <c r="J59" s="158">
        <f>SUM(J50:J58)</f>
        <v>5546</v>
      </c>
      <c r="K59" s="159">
        <f t="shared" ref="K59" si="9">SUM(K50:K58)</f>
        <v>7288</v>
      </c>
    </row>
    <row r="60" spans="1:11" ht="16.5" thickBot="1">
      <c r="A60" s="108"/>
      <c r="B60" s="135"/>
      <c r="C60" s="160"/>
      <c r="D60" s="161"/>
      <c r="E60" s="161"/>
      <c r="F60" s="161"/>
      <c r="G60" s="112"/>
      <c r="H60" s="112"/>
      <c r="I60" s="112"/>
      <c r="J60" s="112"/>
      <c r="K60" s="161"/>
    </row>
    <row r="61" spans="1:11" ht="15.75">
      <c r="A61" s="108"/>
      <c r="B61" s="137">
        <v>8.41</v>
      </c>
      <c r="C61" s="162" t="s">
        <v>84</v>
      </c>
      <c r="D61" s="139">
        <f>SUMIF('[1]pivot מיוחד '!$C$59:$C$87,C61,'[1]pivot מיוחד '!$D$59:$D$87)/1000</f>
        <v>5893.5</v>
      </c>
      <c r="E61" s="139">
        <f>SUMIF('[1]pivot מיוחד '!$C$5:$C$58,C61,'[1]pivot מיוחד '!$D$5:$D$58)/1000</f>
        <v>533</v>
      </c>
      <c r="F61" s="139">
        <f>SUMIF('[1]pivot מיוחד '!$C$59:$C$87,C61,'[1]pivot מיוחד '!$F$59:$F$87)/1000</f>
        <v>6145.0212300000003</v>
      </c>
      <c r="G61" s="139">
        <f>SUMIF('[1]pivot מיוחד '!$C$5:$C$58,E61,'[1]pivot מיוחד '!$D$5:$D$58)/1000</f>
        <v>0</v>
      </c>
      <c r="H61" s="139">
        <f t="shared" ref="H61:H69" si="10">F61+G61</f>
        <v>6145.0212300000003</v>
      </c>
      <c r="I61" s="139">
        <f>SUMIF('[1]pivot מיוחד '!$C$5:$C$65,C61,'[1]pivot מיוחד '!$F$5:$F$97)/1000</f>
        <v>588.16696200000001</v>
      </c>
      <c r="J61" s="139">
        <f>SUMIF('[1]pivot מיוחד '!$C$59:$C$87,C61,'[1]pivot מיוחד '!$H$59:$H$87)/1000</f>
        <v>6438</v>
      </c>
      <c r="K61" s="140">
        <f>SUMIF('[1]pivot מיוחד '!$C$5:$C$58,C61,'[1]pivot מיוחד '!$H$5:$H$58)/1000</f>
        <v>568</v>
      </c>
    </row>
    <row r="62" spans="1:11" ht="15.75">
      <c r="A62" s="108"/>
      <c r="B62" s="123">
        <v>8.42</v>
      </c>
      <c r="C62" s="155" t="s">
        <v>140</v>
      </c>
      <c r="D62" s="125">
        <f>SUMIF('[1]pivot מיוחד '!$C$59:$C$87,C62,'[1]pivot מיוחד '!$D$59:$D$87)/1000</f>
        <v>0</v>
      </c>
      <c r="E62" s="125">
        <f>SUMIF('[1]pivot מיוחד '!$C$5:$C$58,C62,'[1]pivot מיוחד '!$D$5:$D$58)/1000</f>
        <v>480</v>
      </c>
      <c r="F62" s="125">
        <f>SUMIF('[1]pivot מיוחד '!$C$59:$C$87,C62,'[1]pivot מיוחד '!$F$59:$F$87)/1000</f>
        <v>0</v>
      </c>
      <c r="G62" s="125">
        <f>SUMIF('[1]pivot מיוחד '!$C$5:$C$58,E62,'[1]pivot מיוחד '!$D$5:$D$58)/1000</f>
        <v>0</v>
      </c>
      <c r="H62" s="125">
        <f t="shared" si="10"/>
        <v>0</v>
      </c>
      <c r="I62" s="125">
        <f>SUMIF('[1]pivot מיוחד '!$C$5:$C$65,C62,'[1]pivot מיוחד '!$F$5:$F$97)/1000</f>
        <v>502.33138000000002</v>
      </c>
      <c r="J62" s="125">
        <f>SUMIF('[1]pivot מיוחד '!$C$59:$C$87,C62,'[1]pivot מיוחד '!$H$59:$H$87)/1000</f>
        <v>0</v>
      </c>
      <c r="K62" s="126">
        <f>SUMIF('[1]pivot מיוחד '!$C$5:$C$58,C62,'[1]pivot מיוחד '!$H$5:$H$58)/1000</f>
        <v>536</v>
      </c>
    </row>
    <row r="63" spans="1:11" ht="15.75">
      <c r="A63" s="108"/>
      <c r="B63" s="123">
        <v>8.43</v>
      </c>
      <c r="C63" s="155" t="s">
        <v>141</v>
      </c>
      <c r="D63" s="125">
        <f>SUMIF('[1]pivot מיוחד '!$C$59:$C$87,C63,'[1]pivot מיוחד '!$D$59:$D$87)/1000</f>
        <v>0</v>
      </c>
      <c r="E63" s="125">
        <f>SUMIF('[1]pivot מיוחד '!$C$5:$C$58,C63,'[1]pivot מיוחד '!$D$5:$D$58)/1000</f>
        <v>1830</v>
      </c>
      <c r="F63" s="125">
        <f>SUMIF('[1]pivot מיוחד '!$C$59:$C$87,C63,'[1]pivot מיוחד '!$F$59:$F$87)/1000</f>
        <v>0</v>
      </c>
      <c r="G63" s="125">
        <f>SUMIF('[1]pivot מיוחד '!$C$5:$C$58,E63,'[1]pivot מיוחד '!$D$5:$D$58)/1000</f>
        <v>0</v>
      </c>
      <c r="H63" s="125">
        <f t="shared" si="10"/>
        <v>0</v>
      </c>
      <c r="I63" s="125">
        <f>SUMIF('[1]pivot מיוחד '!$C$5:$C$65,C63,'[1]pivot מיוחד '!$F$5:$F$97)/1000</f>
        <v>2368.779</v>
      </c>
      <c r="J63" s="125">
        <f>SUMIF('[1]pivot מיוחד '!$C$59:$C$87,C63,'[1]pivot מיוחד '!$H$59:$H$87)/1000</f>
        <v>0</v>
      </c>
      <c r="K63" s="126">
        <f>SUMIF('[1]pivot מיוחד '!$C$5:$C$58,C63,'[1]pivot מיוחד '!$H$5:$H$58)/1000</f>
        <v>2325</v>
      </c>
    </row>
    <row r="64" spans="1:11" ht="15.75">
      <c r="A64" s="108"/>
      <c r="B64" s="123">
        <v>8.44</v>
      </c>
      <c r="C64" s="155" t="s">
        <v>87</v>
      </c>
      <c r="D64" s="125">
        <f>SUMIF('[1]pivot מיוחד '!$C$59:$C$87,C64,'[1]pivot מיוחד '!$D$59:$D$87)/1000</f>
        <v>0</v>
      </c>
      <c r="E64" s="125">
        <f>SUMIF('[1]pivot מיוחד '!$C$5:$C$58,C64,'[1]pivot מיוחד '!$D$5:$D$58)/1000-100</f>
        <v>1330</v>
      </c>
      <c r="F64" s="125">
        <f>SUMIF('[1]pivot מיוחד '!$C$59:$C$87,C64,'[1]pivot מיוחד '!$F$59:$F$87)/1000</f>
        <v>0</v>
      </c>
      <c r="G64" s="125">
        <f>SUMIF('[1]pivot מיוחד '!$C$5:$C$58,E64,'[1]pivot מיוחד '!$D$5:$D$58)/1000</f>
        <v>0</v>
      </c>
      <c r="H64" s="125">
        <f t="shared" si="10"/>
        <v>0</v>
      </c>
      <c r="I64" s="125">
        <f>SUMIF('[1]pivot מיוחד '!$C$5:$C$65,C64,'[1]pivot מיוחד '!$F$5:$F$97)/1000</f>
        <v>1595.3670199999999</v>
      </c>
      <c r="J64" s="125">
        <f>SUMIF('[1]pivot מיוחד '!$C$59:$C$87,C64,'[1]pivot מיוחד '!$H$59:$H$87)/1000</f>
        <v>0</v>
      </c>
      <c r="K64" s="126">
        <f>SUMIF('[1]pivot מיוחד '!$C$5:$C$58,C64,'[1]pivot מיוחד '!$H$5:$H$58)/1000</f>
        <v>1565</v>
      </c>
    </row>
    <row r="65" spans="1:11" ht="15.75">
      <c r="A65" s="108"/>
      <c r="B65" s="123">
        <v>8.4499999999999993</v>
      </c>
      <c r="C65" s="155" t="s">
        <v>88</v>
      </c>
      <c r="D65" s="125">
        <f>SUMIF('[1]pivot מיוחד '!$C$59:$C$87,C65,'[1]pivot מיוחד '!$D$59:$D$87)/1000</f>
        <v>0</v>
      </c>
      <c r="E65" s="125">
        <f>SUMIF('[1]pivot מיוחד '!$C$5:$C$58,C65,'[1]pivot מיוחד '!$D$5:$D$58)/1000</f>
        <v>8060</v>
      </c>
      <c r="F65" s="125">
        <f>SUMIF('[1]pivot מיוחד '!$C$59:$C$87,C65,'[1]pivot מיוחד '!$F$59:$F$87)/1000</f>
        <v>0</v>
      </c>
      <c r="G65" s="125">
        <f>SUMIF('[1]pivot מיוחד '!$C$5:$C$58,E65,'[1]pivot מיוחד '!$D$5:$D$58)/1000</f>
        <v>0</v>
      </c>
      <c r="H65" s="125">
        <f t="shared" si="10"/>
        <v>0</v>
      </c>
      <c r="I65" s="125">
        <f>SUMIF('[1]pivot מיוחד '!$C$5:$C$65,C65,'[1]pivot מיוחד '!$F$5:$F$97)/1000</f>
        <v>8917.5640199999998</v>
      </c>
      <c r="J65" s="125">
        <f>SUMIF('[1]pivot מיוחד '!$C$59:$C$87,C65,'[1]pivot מיוחד '!$H$59:$H$87)/1000</f>
        <v>0</v>
      </c>
      <c r="K65" s="126">
        <f>SUMIF('[1]pivot מיוחד '!$C$5:$C$58,C65,'[1]pivot מיוחד '!$H$5:$H$58)/1000</f>
        <v>8799</v>
      </c>
    </row>
    <row r="66" spans="1:11" ht="15.75">
      <c r="A66" s="108"/>
      <c r="B66" s="123">
        <v>8.4600000000000009</v>
      </c>
      <c r="C66" s="155" t="s">
        <v>142</v>
      </c>
      <c r="D66" s="125">
        <f>SUMIF('[1]pivot מיוחד '!$C$59:$C$87,C66,'[1]pivot מיוחד '!$D$59:$D$87)/1000</f>
        <v>0</v>
      </c>
      <c r="E66" s="125">
        <f>SUMIF('[1]pivot מיוחד '!$C$5:$C$58,C66,'[1]pivot מיוחד '!$D$5:$D$58)/1000</f>
        <v>2019</v>
      </c>
      <c r="F66" s="125">
        <f>SUMIF('[1]pivot מיוחד '!$C$59:$C$87,C66,'[1]pivot מיוחד '!$F$59:$F$87)/1000</f>
        <v>0</v>
      </c>
      <c r="G66" s="125">
        <f>SUMIF('[1]pivot מיוחד '!$C$5:$C$58,E66,'[1]pivot מיוחד '!$D$5:$D$58)/1000</f>
        <v>0</v>
      </c>
      <c r="H66" s="125">
        <f t="shared" si="10"/>
        <v>0</v>
      </c>
      <c r="I66" s="125">
        <f>SUMIF('[1]pivot מיוחד '!$C$5:$C$65,C66,'[1]pivot מיוחד '!$F$5:$F$97)/1000</f>
        <v>2522.1120000000001</v>
      </c>
      <c r="J66" s="125">
        <f>SUMIF('[1]pivot מיוחד '!$C$59:$C$87,C66,'[1]pivot מיוחד '!$H$59:$H$87)/1000</f>
        <v>0</v>
      </c>
      <c r="K66" s="126">
        <f>SUMIF('[1]pivot מיוחד '!$C$5:$C$58,C66,'[1]pivot מיוחד '!$H$5:$H$58)/1000</f>
        <v>2138</v>
      </c>
    </row>
    <row r="67" spans="1:11" ht="15.75">
      <c r="A67" s="108"/>
      <c r="B67" s="123">
        <v>8.4700000000000006</v>
      </c>
      <c r="C67" s="155" t="s">
        <v>143</v>
      </c>
      <c r="D67" s="125">
        <f>SUMIF('[1]pivot מיוחד '!$C$59:$C$87,C67,'[1]pivot מיוחד '!$D$59:$D$87)/1000</f>
        <v>0</v>
      </c>
      <c r="E67" s="125">
        <f>SUMIF('[1]pivot מיוחד '!$C$5:$C$58,C67,'[1]pivot מיוחד '!$D$5:$D$58)/1000</f>
        <v>313</v>
      </c>
      <c r="F67" s="125">
        <f>SUMIF('[1]pivot מיוחד '!$C$87:$C$88,C67,'[1]pivot מיוחד '!$F$87:$F$88)/1000</f>
        <v>36.04421</v>
      </c>
      <c r="G67" s="125">
        <f>SUMIF('[1]pivot מיוחד '!$C$5:$C$58,E67,'[1]pivot מיוחד '!$D$5:$D$58)/1000</f>
        <v>0</v>
      </c>
      <c r="H67" s="125">
        <f t="shared" si="10"/>
        <v>36.04421</v>
      </c>
      <c r="I67" s="125">
        <f>SUMIF('[1]pivot מיוחד '!$C$5:$C$65,C67,'[1]pivot מיוחד '!$F$5:$F$97)/1000</f>
        <v>297.56851</v>
      </c>
      <c r="J67" s="125">
        <v>1</v>
      </c>
      <c r="K67" s="126">
        <f>SUMIF('[1]pivot מיוחד '!$C$5:$C$58,C67,'[1]pivot מיוחד '!$H$5:$H$58)/1000</f>
        <v>313</v>
      </c>
    </row>
    <row r="68" spans="1:11" ht="15.75">
      <c r="A68" s="108"/>
      <c r="B68" s="123">
        <v>8.48</v>
      </c>
      <c r="C68" s="155" t="s">
        <v>91</v>
      </c>
      <c r="D68" s="125">
        <f>SUMIF('[1]pivot מיוחד '!$C$59:$C$87,C68,'[1]pivot מיוחד '!$D$59:$D$87)/1000</f>
        <v>0</v>
      </c>
      <c r="E68" s="125">
        <f>SUMIF('[1]pivot מיוחד '!$C$5:$C$58,C68,'[1]pivot מיוחד '!$D$5:$D$58)/1000</f>
        <v>144</v>
      </c>
      <c r="F68" s="125">
        <f>SUMIF('[1]pivot מיוחד '!$C$59:$C$87,C68,'[1]pivot מיוחד '!$F$59:$F$87)/1000</f>
        <v>0</v>
      </c>
      <c r="G68" s="125">
        <f>SUMIF('[1]pivot מיוחד '!$C$5:$C$58,E68,'[1]pivot מיוחד '!$D$5:$D$58)/1000</f>
        <v>0</v>
      </c>
      <c r="H68" s="125">
        <f t="shared" si="10"/>
        <v>0</v>
      </c>
      <c r="I68" s="125">
        <f>SUMIF('[1]pivot מיוחד '!$C$5:$C$65,C68,'[1]pivot מיוחד '!$F$5:$F$97)/1000</f>
        <v>130.02191999999999</v>
      </c>
      <c r="J68" s="125">
        <f>SUMIF('[1]pivot מיוחד '!$C$59:$C$87,C68,'[1]pivot מיוחד '!$H$59:$H$87)/1000</f>
        <v>0</v>
      </c>
      <c r="K68" s="126">
        <f>SUMIF('[1]pivot מיוחד '!$C$5:$C$58,C68,'[1]pivot מיוחד '!$H$5:$H$58)/1000</f>
        <v>213</v>
      </c>
    </row>
    <row r="69" spans="1:11" ht="16.5" thickBot="1">
      <c r="A69" s="108"/>
      <c r="B69" s="127">
        <v>8.49</v>
      </c>
      <c r="C69" s="163" t="s">
        <v>92</v>
      </c>
      <c r="D69" s="129">
        <f>SUMIF('[1]pivot מיוחד '!$C$59:$C$87,C69,'[1]pivot מיוחד '!$D$59:$D$87)/1000</f>
        <v>0</v>
      </c>
      <c r="E69" s="129">
        <f>SUMIF('[1]pivot מיוחד '!$C$5:$C$58,C69,'[1]pivot מיוחד '!$D$5:$D$58)/1000</f>
        <v>17</v>
      </c>
      <c r="F69" s="129">
        <f>SUMIF('[1]pivot מיוחד '!$C$59:$C$87,C69,'[1]pivot מיוחד '!$F$59:$F$87)/1000</f>
        <v>0</v>
      </c>
      <c r="G69" s="129">
        <f>SUMIF('[1]pivot מיוחד '!$C$5:$C$58,E69,'[1]pivot מיוחד '!$D$5:$D$58)/1000</f>
        <v>0</v>
      </c>
      <c r="H69" s="129">
        <f t="shared" si="10"/>
        <v>0</v>
      </c>
      <c r="I69" s="129">
        <f>SUMIF('[1]pivot מיוחד '!$C$5:$C$65,C69,'[1]pivot מיוחד '!$F$5:$F$97)/1000</f>
        <v>21.515999999999998</v>
      </c>
      <c r="J69" s="129">
        <f>SUMIF('[1]pivot מיוחד '!$C$59:$C$87,C69,'[1]pivot מיוחד '!$H$59:$H$87)/1000</f>
        <v>0</v>
      </c>
      <c r="K69" s="130">
        <f>SUMIF('[1]pivot מיוחד '!$C$5:$C$58,C69,'[1]pivot מיוחד '!$H$5:$H$58)/1000</f>
        <v>17</v>
      </c>
    </row>
    <row r="70" spans="1:11" ht="18.75" thickBot="1">
      <c r="A70" s="108"/>
      <c r="B70" s="131">
        <v>8.4</v>
      </c>
      <c r="C70" s="157" t="s">
        <v>93</v>
      </c>
      <c r="D70" s="158">
        <f>SUM(D61:D69)</f>
        <v>5893.5</v>
      </c>
      <c r="E70" s="158">
        <f t="shared" ref="E70:I70" si="11">SUM(E61:E69)</f>
        <v>14726</v>
      </c>
      <c r="F70" s="158">
        <f>SUM(F61:F69)</f>
        <v>6181.0654400000003</v>
      </c>
      <c r="G70" s="158">
        <f t="shared" si="11"/>
        <v>0</v>
      </c>
      <c r="H70" s="158">
        <f t="shared" si="11"/>
        <v>6181.0654400000003</v>
      </c>
      <c r="I70" s="158">
        <f t="shared" si="11"/>
        <v>16943.426812000002</v>
      </c>
      <c r="J70" s="158">
        <f>SUM(J61:J69)</f>
        <v>6439</v>
      </c>
      <c r="K70" s="159">
        <f t="shared" ref="K70" si="12">SUM(K61:K69)</f>
        <v>16474</v>
      </c>
    </row>
    <row r="71" spans="1:11" ht="16.5" thickBot="1">
      <c r="A71" s="108"/>
      <c r="B71" s="135"/>
      <c r="C71" s="160"/>
      <c r="D71" s="161"/>
      <c r="E71" s="161"/>
      <c r="F71" s="161"/>
      <c r="G71" s="112"/>
      <c r="H71" s="112"/>
      <c r="I71" s="161"/>
      <c r="J71" s="161"/>
      <c r="K71" s="161"/>
    </row>
    <row r="72" spans="1:11" ht="16.5" thickBot="1">
      <c r="A72" s="108"/>
      <c r="B72" s="164">
        <v>8.5</v>
      </c>
      <c r="C72" s="157" t="s">
        <v>144</v>
      </c>
      <c r="D72" s="165">
        <f>SUMIF('[1]pivot מיוחד '!$C$59:$C$87,C72,'[1]pivot מיוחד '!$D$59:$D$87)/1000</f>
        <v>0</v>
      </c>
      <c r="E72" s="165">
        <f>SUMIF('[1]pivot מיוחד '!$C$5:$C$58,C72,'[1]pivot מיוחד '!$D$5:$D$58)/1000</f>
        <v>1600</v>
      </c>
      <c r="F72" s="165">
        <f>SUMIF('[1]pivot מיוחד '!$C$59:$C$87,C72,'[1]pivot מיוחד '!$F$59:$F$87)/1000</f>
        <v>0</v>
      </c>
      <c r="G72" s="165">
        <f>SUMIF('[1]pivot מיוחד '!$C$5:$C$58,E72,'[1]pivot מיוחד '!$D$5:$D$58)/1000</f>
        <v>0</v>
      </c>
      <c r="H72" s="165">
        <f>F72+G72</f>
        <v>0</v>
      </c>
      <c r="I72" s="165">
        <f>SUMIF('[1]pivot מיוחד '!$C$5:$C$65,C72,'[1]pivot מיוחד '!$F$5:$F$97)/1000</f>
        <v>1640</v>
      </c>
      <c r="J72" s="165">
        <f>SUMIF('[1]pivot מיוחד '!$C$59:$C$87,C72,'[1]pivot מיוחד '!$H$59:$H$87)/1000</f>
        <v>0</v>
      </c>
      <c r="K72" s="166">
        <f>SUMIF('[1]pivot מיוחד '!$C$5:$C$58,C72,'[1]pivot מיוחד '!$H$5:$H$58)/1000</f>
        <v>1648</v>
      </c>
    </row>
    <row r="73" spans="1:11" ht="16.5" thickBot="1">
      <c r="A73" s="108"/>
      <c r="B73" s="161"/>
      <c r="C73" s="161"/>
      <c r="D73" s="161"/>
      <c r="E73" s="161"/>
      <c r="F73" s="161"/>
      <c r="G73" s="112"/>
      <c r="H73" s="112"/>
      <c r="I73" s="161"/>
      <c r="J73" s="161"/>
      <c r="K73" s="161"/>
    </row>
    <row r="74" spans="1:11" ht="16.5" thickBot="1">
      <c r="A74" s="108"/>
      <c r="B74" s="164">
        <v>8.6</v>
      </c>
      <c r="C74" s="157" t="s">
        <v>145</v>
      </c>
      <c r="D74" s="165">
        <f>SUMIF('[1]pivot מיוחד '!$C$59:$C$87,C74,'[1]pivot מיוחד '!$D$59:$D$87)/1000</f>
        <v>0</v>
      </c>
      <c r="E74" s="165">
        <f>SUMIF('[1]pivot מיוחד '!$C$5:$C$58,C74,'[1]pivot מיוחד '!$D$5:$D$58)/1000</f>
        <v>39</v>
      </c>
      <c r="F74" s="165">
        <f>SUMIF('[1]pivot מיוחד '!$C$59:$C$87,C74,'[1]pivot מיוחד '!$F$59:$F$87)/1000</f>
        <v>0</v>
      </c>
      <c r="G74" s="165">
        <f>SUMIF('[1]pivot מיוחד '!$C$5:$C$58,E74,'[1]pivot מיוחד '!$D$5:$D$58)/1000</f>
        <v>0</v>
      </c>
      <c r="H74" s="165">
        <f>F74+G74</f>
        <v>0</v>
      </c>
      <c r="I74" s="165">
        <f>SUMIF('[1]pivot מיוחד '!$C$5:$C$65,C74,'[1]pivot מיוחד '!$F$5:$F$97)/1000</f>
        <v>24.43</v>
      </c>
      <c r="J74" s="165">
        <f>SUMIF('[1]pivot מיוחד '!$C$59:$C$87,C74,'[1]pivot מיוחד '!$H$59:$H$87)/1000</f>
        <v>0</v>
      </c>
      <c r="K74" s="166">
        <f>SUMIF('[1]pivot מיוחד '!$C$5:$C$58,C74,'[1]pivot מיוחד '!$H$5:$H$58)/1000</f>
        <v>38</v>
      </c>
    </row>
    <row r="75" spans="1:11" ht="16.5" thickBot="1">
      <c r="A75" s="108"/>
      <c r="B75" s="167"/>
      <c r="C75" s="167"/>
      <c r="D75" s="168"/>
      <c r="E75" s="112"/>
      <c r="F75" s="112"/>
      <c r="G75" s="112"/>
      <c r="H75" s="112"/>
      <c r="I75" s="112"/>
      <c r="J75" s="112"/>
      <c r="K75" s="112"/>
    </row>
    <row r="76" spans="1:11" ht="15.75">
      <c r="A76" s="108"/>
      <c r="B76" s="172">
        <v>9.6999999999999993</v>
      </c>
      <c r="C76" s="162" t="s">
        <v>97</v>
      </c>
      <c r="D76" s="139">
        <f>SUMIF('[1]pivot מיוחד '!$C$59:$C$87,C76,'[1]pivot מיוחד '!$D$59:$D$87)/1000</f>
        <v>0</v>
      </c>
      <c r="E76" s="139">
        <f>SUMIF('[1]pivot מיוחד '!$C$5:$C$58,C76,'[1]pivot מיוחד '!$D$5:$D$58)/1000</f>
        <v>0</v>
      </c>
      <c r="F76" s="139">
        <f>SUMIF('[1]pivot מיוחד '!$C$59:$C$87,C76,'[1]pivot מיוחד '!$F$59:$F$87)/1000</f>
        <v>0</v>
      </c>
      <c r="G76" s="139">
        <f>SUMIF('[1]pivot מיוחד '!$C$5:$C$58,E76,'[1]pivot מיוחד '!$D$5:$D$58)/1000</f>
        <v>0</v>
      </c>
      <c r="H76" s="139">
        <f>F76+G76</f>
        <v>0</v>
      </c>
      <c r="I76" s="139">
        <v>0</v>
      </c>
      <c r="J76" s="139">
        <f>SUMIF('[1]pivot מיוחד '!$C$59:$C$87,C76,'[1]pivot מיוחד '!$H$59:$H$87)/1000</f>
        <v>0</v>
      </c>
      <c r="K76" s="140">
        <f>SUMIF('[1]pivot מיוחד '!$C$5:$C$58,C76,'[1]pivot מיוחד '!$H$5:$H$58)/1000</f>
        <v>0</v>
      </c>
    </row>
    <row r="77" spans="1:11" ht="15.75">
      <c r="A77" s="108"/>
      <c r="B77" s="173">
        <v>9.92</v>
      </c>
      <c r="C77" s="155" t="s">
        <v>31</v>
      </c>
      <c r="D77" s="125">
        <f>SUMIF('[1]pivot מיוחד '!$C$59:$C$87,C77,'[1]pivot מיוחד '!$D$59:$D$87)/1000</f>
        <v>0</v>
      </c>
      <c r="E77" s="125">
        <f>SUMIF('[1]pivot מיוחד '!$C$5:$C$58,C77,'[1]pivot מיוחד '!$D$5:$D$58)/1000</f>
        <v>500</v>
      </c>
      <c r="F77" s="125">
        <f>SUMIF('[1]pivot מיוחד '!$C$59:$C$87,C77,'[1]pivot מיוחד '!$F$59:$F$87)/1000</f>
        <v>0</v>
      </c>
      <c r="G77" s="125">
        <f>SUMIF('[1]pivot מיוחד '!$C$5:$C$58,E77,'[1]pivot מיוחד '!$D$5:$D$58)/1000</f>
        <v>0</v>
      </c>
      <c r="H77" s="125">
        <f>F77+G77</f>
        <v>0</v>
      </c>
      <c r="I77" s="125">
        <f>SUMIF('[1]pivot מיוחד '!$C$5:$C$65,C77,'[1]pivot מיוחד '!$F$5:$F$97)/1000</f>
        <v>746.77819999999997</v>
      </c>
      <c r="J77" s="125">
        <f>SUMIF('[1]pivot מיוחד '!$C$59:$C$87,C77,'[1]pivot מיוחד '!$H$59:$H$87)/1000</f>
        <v>0</v>
      </c>
      <c r="K77" s="126">
        <f>SUMIF('[1]pivot מיוחד '!$C$5:$C$58,C77,'[1]pivot מיוחד '!$H$5:$H$58)/1000</f>
        <v>500</v>
      </c>
    </row>
    <row r="78" spans="1:11" ht="15.75">
      <c r="A78" s="108"/>
      <c r="B78" s="173">
        <v>9.94</v>
      </c>
      <c r="C78" s="155" t="s">
        <v>146</v>
      </c>
      <c r="D78" s="125">
        <f>SUMIF('[1]pivot מיוחד '!$C$59:$C$87,C78,'[1]pivot מיוחד '!$D$59:$D$87)/1000</f>
        <v>19050.400000000001</v>
      </c>
      <c r="E78" s="125">
        <f>SUMIF('[1]pivot מיוחד '!$C$5:$C$58,C78,'[1]pivot מיוחד '!$D$5:$D$58)/1000</f>
        <v>0</v>
      </c>
      <c r="F78" s="125">
        <f>SUMIF('[1]pivot מיוחד '!$C$59:$C$87,C78,'[1]pivot מיוחד '!$F$59:$F$87)/1000</f>
        <v>18419.691830000003</v>
      </c>
      <c r="G78" s="125">
        <f>SUMIF('[1]pivot מיוחד '!$C$5:$C$58,E78,'[1]pivot מיוחד '!$D$5:$D$58)/1000</f>
        <v>0</v>
      </c>
      <c r="H78" s="125">
        <f>F78+G78</f>
        <v>18419.691830000003</v>
      </c>
      <c r="I78" s="125">
        <f>SUMIF('[1]pivot מיוחד '!$C$5:$C$65,C78,'[1]pivot מיוחד '!$F$5:$F$97)/1000</f>
        <v>0</v>
      </c>
      <c r="J78" s="125">
        <f>SUMIF('[1]pivot מיוחד '!$C$59:$C$87,C78,'[1]pivot מיוחד '!$H$59:$H$87)/1000</f>
        <v>19242</v>
      </c>
      <c r="K78" s="126">
        <f>SUMIF('[1]pivot מיוחד '!$C$5:$C$58,C78,'[1]pivot מיוחד '!$H$5:$H$58)/1000</f>
        <v>0</v>
      </c>
    </row>
    <row r="79" spans="1:11" ht="16.5" thickBot="1">
      <c r="A79" s="108"/>
      <c r="B79" s="295">
        <v>9.9499999999999993</v>
      </c>
      <c r="C79" s="296" t="s">
        <v>20</v>
      </c>
      <c r="D79" s="297">
        <f>SUMIF('[1]pivot מיוחד '!$C$59:$C$87,C79,'[1]pivot מיוחד '!$D$59:$D$87)/1000</f>
        <v>0</v>
      </c>
      <c r="E79" s="297">
        <f>SUMIF('[1]pivot מיוחד '!$C$5:$C$58,C79,'[1]pivot מיוחד '!$D$5:$D$58)/1000</f>
        <v>29253</v>
      </c>
      <c r="F79" s="297">
        <f>SUMIF('[1]pivot מיוחד '!$C$59:$C$87,C79,'[1]pivot מיוחד '!$F$59:$F$87)/1000</f>
        <v>0</v>
      </c>
      <c r="G79" s="297">
        <f>SUMIF('[1]pivot מיוחד '!$C$5:$C$58,E79,'[1]pivot מיוחד '!$D$5:$D$58)/1000</f>
        <v>0</v>
      </c>
      <c r="H79" s="297">
        <f>F79+G79</f>
        <v>0</v>
      </c>
      <c r="I79" s="297">
        <f>SUMIF('[1]pivot מיוחד '!$C$5:$C$65,C79,'[1]pivot מיוחד '!$F$5:$F$97)/1000</f>
        <v>28373</v>
      </c>
      <c r="J79" s="297">
        <f>SUMIF('[1]pivot מיוחד '!$C$59:$C$87,C79,'[1]pivot מיוחד '!$H$59:$H$87)/1000</f>
        <v>0</v>
      </c>
      <c r="K79" s="298">
        <f>SUMIF('[1]pivot מיוחד '!$C$5:$C$58,C79,'[1]pivot מיוחד '!$H$5:$H$58)/1000</f>
        <v>28796</v>
      </c>
    </row>
    <row r="80" spans="1:11" ht="18.75" thickBot="1">
      <c r="A80" s="108"/>
      <c r="B80" s="164">
        <v>9</v>
      </c>
      <c r="C80" s="157" t="s">
        <v>147</v>
      </c>
      <c r="D80" s="158">
        <f t="shared" ref="D80:K80" si="13">SUM(D76:D79)</f>
        <v>19050.400000000001</v>
      </c>
      <c r="E80" s="158">
        <f t="shared" si="13"/>
        <v>29753</v>
      </c>
      <c r="F80" s="158">
        <f t="shared" si="13"/>
        <v>18419.691830000003</v>
      </c>
      <c r="G80" s="158">
        <f t="shared" si="13"/>
        <v>0</v>
      </c>
      <c r="H80" s="158">
        <f t="shared" si="13"/>
        <v>18419.691830000003</v>
      </c>
      <c r="I80" s="158">
        <f t="shared" si="13"/>
        <v>29119.778200000001</v>
      </c>
      <c r="J80" s="158">
        <f t="shared" si="13"/>
        <v>19242</v>
      </c>
      <c r="K80" s="159">
        <f t="shared" si="13"/>
        <v>29296</v>
      </c>
    </row>
    <row r="81" spans="1:11" ht="16.5" thickBot="1">
      <c r="A81" s="108"/>
      <c r="B81" s="168"/>
      <c r="C81" s="168"/>
      <c r="D81" s="112"/>
      <c r="E81" s="112"/>
      <c r="F81" s="112"/>
      <c r="G81" s="112"/>
      <c r="H81" s="112"/>
      <c r="I81" s="112"/>
      <c r="J81" s="112"/>
      <c r="K81" s="112"/>
    </row>
    <row r="82" spans="1:11" ht="16.5" thickBot="1">
      <c r="A82" s="108"/>
      <c r="B82" s="340" t="s">
        <v>33</v>
      </c>
      <c r="C82" s="341"/>
      <c r="D82" s="175">
        <f t="shared" ref="D82:K82" si="14">+D80+D74+D72+D70+D59+D44+D25+D16</f>
        <v>123959.5</v>
      </c>
      <c r="E82" s="175">
        <f t="shared" si="14"/>
        <v>130838.79999999999</v>
      </c>
      <c r="F82" s="175">
        <f t="shared" si="14"/>
        <v>126119.60858999999</v>
      </c>
      <c r="G82" s="175">
        <f t="shared" si="14"/>
        <v>0</v>
      </c>
      <c r="H82" s="175">
        <f t="shared" si="14"/>
        <v>126119.60858999999</v>
      </c>
      <c r="I82" s="175">
        <f t="shared" si="14"/>
        <v>130085.82508369697</v>
      </c>
      <c r="J82" s="175">
        <f t="shared" si="14"/>
        <v>131565</v>
      </c>
      <c r="K82" s="176">
        <f t="shared" si="14"/>
        <v>140511</v>
      </c>
    </row>
    <row r="83" spans="1:11" ht="16.5" thickBot="1">
      <c r="A83" s="108"/>
      <c r="B83" s="168"/>
      <c r="C83" s="168"/>
      <c r="D83" s="112"/>
      <c r="E83" s="112"/>
      <c r="F83" s="112"/>
      <c r="G83" s="112"/>
      <c r="H83" s="112"/>
      <c r="I83" s="112"/>
      <c r="J83" s="112"/>
      <c r="K83" s="112"/>
    </row>
    <row r="84" spans="1:11" ht="15.75">
      <c r="A84" s="108"/>
      <c r="B84" s="112"/>
      <c r="C84" s="169"/>
      <c r="D84" s="365" t="s">
        <v>152</v>
      </c>
      <c r="E84" s="366"/>
      <c r="F84" s="299">
        <v>2017</v>
      </c>
      <c r="G84" s="112"/>
      <c r="H84" s="112"/>
      <c r="I84" s="112"/>
      <c r="J84" s="367"/>
      <c r="K84" s="368"/>
    </row>
    <row r="85" spans="1:11" ht="15.75">
      <c r="A85" s="108"/>
      <c r="B85" s="112"/>
      <c r="C85" s="300" t="s">
        <v>148</v>
      </c>
      <c r="D85" s="301" t="s">
        <v>44</v>
      </c>
      <c r="E85" s="302" t="s">
        <v>156</v>
      </c>
      <c r="F85" s="303" t="s">
        <v>47</v>
      </c>
      <c r="G85" s="112"/>
      <c r="H85" s="112"/>
      <c r="I85" s="112"/>
      <c r="J85" s="108"/>
      <c r="K85" s="108"/>
    </row>
    <row r="86" spans="1:11" ht="15.75">
      <c r="A86" s="108"/>
      <c r="B86" s="112"/>
      <c r="C86" s="304"/>
      <c r="D86" s="305"/>
      <c r="E86" s="306"/>
      <c r="F86" s="306"/>
      <c r="G86" s="112"/>
      <c r="H86" s="112"/>
      <c r="I86" s="112"/>
      <c r="J86" s="108"/>
      <c r="K86" s="108"/>
    </row>
    <row r="87" spans="1:11" ht="15.75">
      <c r="A87" s="108"/>
      <c r="B87" s="112"/>
      <c r="C87" s="304" t="s">
        <v>149</v>
      </c>
      <c r="D87" s="305">
        <f>+D82+500</f>
        <v>124459.5</v>
      </c>
      <c r="E87" s="307">
        <f>F82+746.78</f>
        <v>126866.38858999999</v>
      </c>
      <c r="F87" s="307">
        <f>J82+500</f>
        <v>132065</v>
      </c>
      <c r="G87" s="112"/>
      <c r="H87" s="112"/>
      <c r="I87" s="112"/>
      <c r="J87" s="108"/>
      <c r="K87" s="108"/>
    </row>
    <row r="88" spans="1:11" ht="15.75">
      <c r="A88" s="108"/>
      <c r="B88" s="112"/>
      <c r="C88" s="304" t="s">
        <v>150</v>
      </c>
      <c r="D88" s="305">
        <f>+E82-500</f>
        <v>130338.79999999999</v>
      </c>
      <c r="E88" s="307">
        <f>I82-746.78</f>
        <v>129339.04508369697</v>
      </c>
      <c r="F88" s="307">
        <f>K82-500</f>
        <v>140011</v>
      </c>
      <c r="G88" s="112"/>
      <c r="H88" s="112"/>
      <c r="I88" s="112"/>
      <c r="J88" s="108"/>
      <c r="K88" s="108"/>
    </row>
    <row r="89" spans="1:11" ht="15.75">
      <c r="A89" s="108"/>
      <c r="B89" s="112"/>
      <c r="C89" s="304"/>
      <c r="D89" s="305"/>
      <c r="E89" s="306"/>
      <c r="F89" s="306"/>
      <c r="G89" s="112"/>
      <c r="H89" s="112"/>
      <c r="I89" s="112"/>
      <c r="J89" s="108"/>
      <c r="K89" s="108"/>
    </row>
    <row r="90" spans="1:11" ht="16.5" thickBot="1">
      <c r="A90" s="108"/>
      <c r="B90" s="112"/>
      <c r="C90" s="295" t="s">
        <v>33</v>
      </c>
      <c r="D90" s="308">
        <f>SUM(D87:D89)</f>
        <v>254798.3</v>
      </c>
      <c r="E90" s="309">
        <f>SUM(E87:E89)</f>
        <v>256205.43367369694</v>
      </c>
      <c r="F90" s="309">
        <f>SUM(F87:F89)</f>
        <v>272076</v>
      </c>
      <c r="G90" s="112"/>
      <c r="H90" s="112"/>
      <c r="I90" s="112"/>
      <c r="J90" s="108"/>
      <c r="K90" s="108"/>
    </row>
  </sheetData>
  <mergeCells count="15">
    <mergeCell ref="B2:K2"/>
    <mergeCell ref="B4:K5"/>
    <mergeCell ref="B6:K6"/>
    <mergeCell ref="B8:K8"/>
    <mergeCell ref="D10:E10"/>
    <mergeCell ref="F10:I10"/>
    <mergeCell ref="J10:K10"/>
    <mergeCell ref="B82:C82"/>
    <mergeCell ref="D84:E84"/>
    <mergeCell ref="J84:K84"/>
    <mergeCell ref="B45:C45"/>
    <mergeCell ref="B46:C46"/>
    <mergeCell ref="D48:E48"/>
    <mergeCell ref="F48:I48"/>
    <mergeCell ref="J48:K4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2018+2017</vt:lpstr>
      <vt:lpstr>הכנסות 18+17</vt:lpstr>
      <vt:lpstr>הוצאות 18+17</vt:lpstr>
      <vt:lpstr>2017</vt:lpstr>
      <vt:lpstr>הכנסות 16</vt:lpstr>
      <vt:lpstr>הוצאות 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סיון דדון</dc:creator>
  <cp:lastModifiedBy>סיון דדון</cp:lastModifiedBy>
  <dcterms:created xsi:type="dcterms:W3CDTF">2018-05-06T06:32:49Z</dcterms:created>
  <dcterms:modified xsi:type="dcterms:W3CDTF">2018-05-09T12:02:58Z</dcterms:modified>
</cp:coreProperties>
</file>