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1970" yWindow="2040" windowWidth="1980" windowHeight="5685" tabRatio="805" activeTab="5"/>
  </bookViews>
  <sheets>
    <sheet name="דף פתיחה" sheetId="6" r:id="rId1"/>
    <sheet name="ריכוז תקציב" sheetId="9" r:id="rId2"/>
    <sheet name="ריכוז הכנסות" sheetId="10" r:id="rId3"/>
    <sheet name="הכנסות" sheetId="11" r:id="rId4"/>
    <sheet name="ריכוז הוצאות" sheetId="12" r:id="rId5"/>
    <sheet name="הוצאות" sheetId="1" r:id="rId6"/>
  </sheets>
  <definedNames>
    <definedName name="_xlnm._FilterDatabase" localSheetId="5" hidden="1">הוצאות!$A$3:$T$485</definedName>
    <definedName name="_xlnm._FilterDatabase" localSheetId="3" hidden="1">הכנסות!$C$48:$V$231</definedName>
    <definedName name="_xlnm.Print_Area" localSheetId="0">'דף פתיחה'!$A$1:$D$26</definedName>
    <definedName name="_xlnm.Print_Area" localSheetId="5">הוצאות!$A$1:$AC$485</definedName>
    <definedName name="_xlnm.Print_Area" localSheetId="4">'ריכוז הוצאות'!$A$1:$AA$21</definedName>
    <definedName name="_xlnm.Print_Area" localSheetId="2">'ריכוז הכנסות'!$A$1:$AC$16</definedName>
    <definedName name="_xlnm.Print_Titles" localSheetId="5">הוצאות!$1:$3</definedName>
    <definedName name="_xlnm.Print_Titles" localSheetId="3">הכנסות!$2:$5</definedName>
  </definedNames>
  <calcPr calcId="145621"/>
</workbook>
</file>

<file path=xl/calcChain.xml><?xml version="1.0" encoding="utf-8"?>
<calcChain xmlns="http://schemas.openxmlformats.org/spreadsheetml/2006/main">
  <c r="Y15" i="9" l="1"/>
  <c r="Z15" i="9"/>
  <c r="Y25" i="9"/>
  <c r="Y22" i="9"/>
  <c r="K248" i="1"/>
  <c r="P248" i="1"/>
  <c r="S248" i="1"/>
  <c r="V248" i="1"/>
  <c r="Z10" i="9"/>
  <c r="Y10" i="9"/>
  <c r="Z9" i="9"/>
  <c r="Y9" i="9"/>
  <c r="AD326" i="1"/>
  <c r="AE326" i="1"/>
  <c r="AF326" i="1"/>
  <c r="AG326" i="1"/>
  <c r="AH326" i="1"/>
  <c r="AI326" i="1"/>
  <c r="AA27" i="9"/>
  <c r="AB243" i="1"/>
  <c r="AF15" i="11"/>
  <c r="AB97" i="1"/>
  <c r="AB98" i="1" s="1"/>
  <c r="AB105" i="1" s="1"/>
  <c r="AA408" i="1"/>
  <c r="AA360" i="1"/>
  <c r="AB360" i="1"/>
  <c r="Z263" i="1"/>
  <c r="AA263" i="1"/>
  <c r="AA117" i="1"/>
  <c r="AB117" i="1"/>
  <c r="AF179" i="11"/>
  <c r="AE187" i="11"/>
  <c r="AF187" i="11"/>
  <c r="AB263" i="1"/>
  <c r="X27" i="9"/>
  <c r="Y27" i="9"/>
  <c r="Z27" i="9"/>
  <c r="AE143" i="11"/>
  <c r="AE149" i="11" s="1"/>
  <c r="W170" i="1"/>
  <c r="W192" i="1" s="1"/>
  <c r="AA318" i="1"/>
  <c r="AA326" i="1" s="1"/>
  <c r="AC317" i="1"/>
  <c r="AF131" i="11"/>
  <c r="AB309" i="1"/>
  <c r="AB326" i="1" s="1"/>
  <c r="AC309" i="1"/>
  <c r="AB476" i="1"/>
  <c r="AA476" i="1"/>
  <c r="AC142" i="1"/>
  <c r="AB477" i="1"/>
  <c r="Z22" i="9" s="1"/>
  <c r="AB265" i="1"/>
  <c r="AB299" i="1" s="1"/>
  <c r="AC408" i="1"/>
  <c r="AB408" i="1"/>
  <c r="V401" i="1"/>
  <c r="T401" i="1"/>
  <c r="P401" i="1"/>
  <c r="K401" i="1"/>
  <c r="F401" i="1"/>
  <c r="AC226" i="1"/>
  <c r="AC243" i="1" s="1"/>
  <c r="Y33" i="9"/>
  <c r="Z33" i="9"/>
  <c r="AA483" i="1"/>
  <c r="Y32" i="9" s="1"/>
  <c r="AB483" i="1"/>
  <c r="AA474" i="1"/>
  <c r="AB474" i="1"/>
  <c r="AA470" i="1"/>
  <c r="AB470" i="1"/>
  <c r="AA463" i="1"/>
  <c r="AB463" i="1"/>
  <c r="AA455" i="1"/>
  <c r="AB455" i="1"/>
  <c r="AA440" i="1"/>
  <c r="AB440" i="1"/>
  <c r="AA427" i="1"/>
  <c r="AB427" i="1"/>
  <c r="AA413" i="1"/>
  <c r="AB413" i="1"/>
  <c r="AA398" i="1"/>
  <c r="AB398" i="1"/>
  <c r="AA390" i="1"/>
  <c r="AB390" i="1"/>
  <c r="AB385" i="1"/>
  <c r="AA385" i="1"/>
  <c r="AA379" i="1"/>
  <c r="AB379" i="1"/>
  <c r="AA370" i="1"/>
  <c r="AB370" i="1"/>
  <c r="AA302" i="1"/>
  <c r="AB302" i="1"/>
  <c r="AA299" i="1"/>
  <c r="AA243" i="1"/>
  <c r="AA192" i="1"/>
  <c r="AB192" i="1"/>
  <c r="AA153" i="1"/>
  <c r="AB153" i="1"/>
  <c r="AA127" i="1"/>
  <c r="AB127" i="1"/>
  <c r="AA98" i="1"/>
  <c r="AA105" i="1" s="1"/>
  <c r="AA93" i="1"/>
  <c r="AB93" i="1"/>
  <c r="AA69" i="1"/>
  <c r="AB69" i="1"/>
  <c r="AA65" i="1"/>
  <c r="Y30" i="9" s="1"/>
  <c r="AB65" i="1"/>
  <c r="Z30" i="9" s="1"/>
  <c r="AA62" i="1"/>
  <c r="AB62" i="1"/>
  <c r="AA44" i="1"/>
  <c r="AB44" i="1"/>
  <c r="AF9" i="11"/>
  <c r="Z6" i="9" s="1"/>
  <c r="Y8" i="9"/>
  <c r="Z8" i="9"/>
  <c r="Y14" i="9"/>
  <c r="Z14" i="9"/>
  <c r="Y16" i="9"/>
  <c r="Z16" i="9"/>
  <c r="Y17" i="9"/>
  <c r="Z17" i="9"/>
  <c r="Y18" i="9"/>
  <c r="Z18" i="9"/>
  <c r="AE227" i="11"/>
  <c r="AF227" i="11"/>
  <c r="AE223" i="11"/>
  <c r="AF223" i="11"/>
  <c r="AE218" i="11"/>
  <c r="AE213" i="11"/>
  <c r="AF218" i="11"/>
  <c r="AF213" i="11"/>
  <c r="AE209" i="11"/>
  <c r="AF209" i="11"/>
  <c r="AE202" i="11"/>
  <c r="AE204" i="11" s="1"/>
  <c r="AF202" i="11"/>
  <c r="AE179" i="11"/>
  <c r="AE175" i="11"/>
  <c r="AF175" i="11"/>
  <c r="AE166" i="11"/>
  <c r="AF166" i="11"/>
  <c r="AE160" i="11"/>
  <c r="AF160" i="11"/>
  <c r="AE157" i="11"/>
  <c r="AF157" i="11"/>
  <c r="AF149" i="11"/>
  <c r="AE127" i="11"/>
  <c r="AF127" i="11"/>
  <c r="AE96" i="11"/>
  <c r="AF96" i="11"/>
  <c r="AE89" i="11"/>
  <c r="AF89" i="11"/>
  <c r="AE58" i="11"/>
  <c r="AF58" i="11"/>
  <c r="AE43" i="11"/>
  <c r="AE48" i="11" s="1"/>
  <c r="AB8" i="10" s="1"/>
  <c r="AF43" i="11"/>
  <c r="AE39" i="11"/>
  <c r="AF39" i="11"/>
  <c r="AE35" i="11"/>
  <c r="AF35" i="11"/>
  <c r="AE30" i="11"/>
  <c r="AF30" i="11"/>
  <c r="AE21" i="11"/>
  <c r="AE23" i="11" s="1"/>
  <c r="AF21" i="11"/>
  <c r="AE13" i="11"/>
  <c r="Y7" i="9" s="1"/>
  <c r="AF13" i="11"/>
  <c r="Z7" i="9" s="1"/>
  <c r="AE9" i="11"/>
  <c r="AC340" i="1"/>
  <c r="AC360" i="1" s="1"/>
  <c r="Z340" i="1"/>
  <c r="AC316" i="1"/>
  <c r="Z316" i="1"/>
  <c r="Z133" i="1"/>
  <c r="AC137" i="1"/>
  <c r="Z137" i="1"/>
  <c r="Z216" i="1"/>
  <c r="Z198" i="1"/>
  <c r="Z118" i="1"/>
  <c r="AD19" i="11"/>
  <c r="X17" i="9" s="1"/>
  <c r="AC8" i="11"/>
  <c r="Z41" i="1"/>
  <c r="Z39" i="1"/>
  <c r="AC39" i="1"/>
  <c r="AC155" i="11"/>
  <c r="AC143" i="11"/>
  <c r="AD143" i="11" s="1"/>
  <c r="V15" i="9"/>
  <c r="U15" i="9"/>
  <c r="Z189" i="1"/>
  <c r="Z160" i="1"/>
  <c r="AC125" i="11"/>
  <c r="AD125" i="11" s="1"/>
  <c r="AC85" i="11"/>
  <c r="AD85" i="11" s="1"/>
  <c r="AC77" i="11"/>
  <c r="AD77" i="11" s="1"/>
  <c r="AC56" i="11"/>
  <c r="AC58" i="11" s="1"/>
  <c r="AC156" i="11"/>
  <c r="AD156" i="11" s="1"/>
  <c r="AC154" i="11"/>
  <c r="AC18" i="11"/>
  <c r="W16" i="9" s="1"/>
  <c r="Z85" i="1"/>
  <c r="Z84" i="1"/>
  <c r="Z29" i="1"/>
  <c r="U22" i="9"/>
  <c r="Z4" i="1"/>
  <c r="AD11" i="11"/>
  <c r="AC398" i="1"/>
  <c r="AC390" i="1"/>
  <c r="AC385" i="1"/>
  <c r="AC379" i="1"/>
  <c r="AC370" i="1"/>
  <c r="AC299" i="1"/>
  <c r="AC263" i="1"/>
  <c r="AC192" i="1"/>
  <c r="AC62" i="1"/>
  <c r="Z231" i="1"/>
  <c r="X477" i="1"/>
  <c r="X415" i="1"/>
  <c r="X427" i="1" s="1"/>
  <c r="X383" i="1"/>
  <c r="X385" i="1" s="1"/>
  <c r="X371" i="1"/>
  <c r="X379" i="1" s="1"/>
  <c r="X309" i="1"/>
  <c r="X326" i="1" s="1"/>
  <c r="X293" i="1"/>
  <c r="X285" i="1"/>
  <c r="X277" i="1"/>
  <c r="X265" i="1"/>
  <c r="X226" i="1"/>
  <c r="X243" i="1" s="1"/>
  <c r="X183" i="1"/>
  <c r="X162" i="1"/>
  <c r="X163" i="1"/>
  <c r="X164" i="1"/>
  <c r="X165" i="1"/>
  <c r="X166" i="1"/>
  <c r="X167" i="1"/>
  <c r="X168" i="1"/>
  <c r="X169" i="1"/>
  <c r="X170" i="1"/>
  <c r="X161" i="1"/>
  <c r="X146" i="1"/>
  <c r="X118" i="1"/>
  <c r="X127" i="1" s="1"/>
  <c r="X55" i="1"/>
  <c r="X62" i="1" s="1"/>
  <c r="X29" i="1"/>
  <c r="X44" i="1" s="1"/>
  <c r="X104" i="1"/>
  <c r="X82" i="1"/>
  <c r="X93" i="1" s="1"/>
  <c r="AB119" i="11"/>
  <c r="AD119" i="11"/>
  <c r="AB118" i="11"/>
  <c r="AD118" i="11"/>
  <c r="AB85" i="11"/>
  <c r="AB143" i="11"/>
  <c r="AB110" i="11"/>
  <c r="AB95" i="11"/>
  <c r="AB96" i="11" s="1"/>
  <c r="AB113" i="11"/>
  <c r="AB65" i="11"/>
  <c r="AB60" i="11"/>
  <c r="AB61" i="11"/>
  <c r="AB62" i="11"/>
  <c r="AB68" i="11"/>
  <c r="AB69" i="11"/>
  <c r="AB70" i="11"/>
  <c r="AB71" i="11"/>
  <c r="AB72" i="11"/>
  <c r="AB73" i="11"/>
  <c r="AB74" i="11"/>
  <c r="AB75" i="11"/>
  <c r="AB76" i="11"/>
  <c r="AB79" i="11"/>
  <c r="AB80" i="11"/>
  <c r="AB81" i="11"/>
  <c r="AB87" i="11"/>
  <c r="AB99" i="11"/>
  <c r="X180" i="1"/>
  <c r="Z180" i="1"/>
  <c r="AB52" i="11"/>
  <c r="AD52" i="11"/>
  <c r="AB98" i="11"/>
  <c r="AB50" i="11"/>
  <c r="AD50" i="11"/>
  <c r="W243" i="1"/>
  <c r="AD98" i="11"/>
  <c r="AD99" i="11"/>
  <c r="AD113" i="11"/>
  <c r="AD110" i="11"/>
  <c r="AD65" i="11"/>
  <c r="AD95" i="11"/>
  <c r="W33" i="9"/>
  <c r="X483" i="1"/>
  <c r="W18" i="12" s="1"/>
  <c r="Y483" i="1"/>
  <c r="X18" i="12" s="1"/>
  <c r="Z483" i="1"/>
  <c r="X32" i="9" s="1"/>
  <c r="W483" i="1"/>
  <c r="U32" i="9" s="1"/>
  <c r="Z476" i="1"/>
  <c r="Z466" i="1"/>
  <c r="Z467" i="1"/>
  <c r="Z469" i="1"/>
  <c r="Z465" i="1"/>
  <c r="Z462" i="1"/>
  <c r="Z457" i="1"/>
  <c r="Z451" i="1"/>
  <c r="Y452" i="1"/>
  <c r="Z452" i="1" s="1"/>
  <c r="Z454" i="1"/>
  <c r="Z450" i="1"/>
  <c r="Z447" i="1"/>
  <c r="Z444" i="1"/>
  <c r="Z442" i="1"/>
  <c r="Z429" i="1"/>
  <c r="Z430" i="1"/>
  <c r="Z431" i="1"/>
  <c r="Z432" i="1"/>
  <c r="Z434" i="1"/>
  <c r="Z436" i="1"/>
  <c r="Z437" i="1"/>
  <c r="Z438" i="1"/>
  <c r="Z439" i="1"/>
  <c r="Z417" i="1"/>
  <c r="Z419" i="1"/>
  <c r="Z420" i="1"/>
  <c r="Z422" i="1"/>
  <c r="Z423" i="1"/>
  <c r="Z426" i="1"/>
  <c r="Z411" i="1"/>
  <c r="Z410" i="1"/>
  <c r="Z404" i="1"/>
  <c r="Z403" i="1"/>
  <c r="Z396" i="1"/>
  <c r="Z397" i="1"/>
  <c r="Z393" i="1"/>
  <c r="Z392" i="1"/>
  <c r="Z391" i="1"/>
  <c r="Z389" i="1"/>
  <c r="Y387" i="1"/>
  <c r="Y390" i="1" s="1"/>
  <c r="Z381" i="1"/>
  <c r="Z373" i="1"/>
  <c r="Z374" i="1"/>
  <c r="Z375" i="1"/>
  <c r="Z377" i="1"/>
  <c r="Z378" i="1"/>
  <c r="Z372" i="1"/>
  <c r="Y379" i="1"/>
  <c r="Z366" i="1"/>
  <c r="Z367" i="1"/>
  <c r="Z368" i="1"/>
  <c r="Z362" i="1"/>
  <c r="Z363" i="1"/>
  <c r="Z351" i="1"/>
  <c r="Z352" i="1"/>
  <c r="Z355" i="1"/>
  <c r="Z356" i="1"/>
  <c r="Z348" i="1"/>
  <c r="Z342" i="1"/>
  <c r="Z343" i="1"/>
  <c r="Z344" i="1"/>
  <c r="Z345" i="1"/>
  <c r="Y346" i="1"/>
  <c r="Z346" i="1" s="1"/>
  <c r="Z341" i="1"/>
  <c r="Z332" i="1"/>
  <c r="Z333" i="1"/>
  <c r="Z334" i="1"/>
  <c r="Z338" i="1"/>
  <c r="Z339" i="1"/>
  <c r="Z321" i="1"/>
  <c r="Z324" i="1"/>
  <c r="Z320" i="1"/>
  <c r="Z318" i="1"/>
  <c r="Z311" i="1"/>
  <c r="Z313" i="1"/>
  <c r="Z314" i="1"/>
  <c r="Z310" i="1"/>
  <c r="Z307" i="1"/>
  <c r="Z300" i="1"/>
  <c r="Z302" i="1" s="1"/>
  <c r="Z305" i="1"/>
  <c r="Z303" i="1"/>
  <c r="Z295" i="1"/>
  <c r="Z297" i="1"/>
  <c r="Z288" i="1"/>
  <c r="Z290" i="1"/>
  <c r="Z291" i="1"/>
  <c r="Z279" i="1"/>
  <c r="Z281" i="1"/>
  <c r="Z282" i="1"/>
  <c r="Z283" i="1"/>
  <c r="Z278" i="1"/>
  <c r="Z267" i="1"/>
  <c r="Z269" i="1"/>
  <c r="Z270" i="1"/>
  <c r="Z271" i="1"/>
  <c r="Z272" i="1"/>
  <c r="Z273" i="1"/>
  <c r="Z274" i="1"/>
  <c r="Z266" i="1"/>
  <c r="Y263" i="1"/>
  <c r="Z237" i="1"/>
  <c r="Z239" i="1"/>
  <c r="Z241" i="1"/>
  <c r="Y236" i="1"/>
  <c r="Z236" i="1" s="1"/>
  <c r="Z234" i="1"/>
  <c r="Y232" i="1"/>
  <c r="Z232" i="1" s="1"/>
  <c r="Z228" i="1"/>
  <c r="Z224" i="1"/>
  <c r="Z223" i="1"/>
  <c r="Z221" i="1"/>
  <c r="Z218" i="1"/>
  <c r="Z217" i="1"/>
  <c r="Z215" i="1"/>
  <c r="Z212" i="1"/>
  <c r="Z211" i="1"/>
  <c r="Z209" i="1"/>
  <c r="Z206" i="1"/>
  <c r="Z205" i="1"/>
  <c r="Z203" i="1"/>
  <c r="Z200" i="1"/>
  <c r="Z199" i="1"/>
  <c r="Z195" i="1"/>
  <c r="Z196" i="1"/>
  <c r="Z191" i="1"/>
  <c r="W25" i="9"/>
  <c r="Z187" i="1"/>
  <c r="Z184" i="1"/>
  <c r="Z176" i="1"/>
  <c r="Z178" i="1"/>
  <c r="Z179" i="1"/>
  <c r="Z174" i="1"/>
  <c r="Z173" i="1"/>
  <c r="Z172" i="1"/>
  <c r="Z159" i="1"/>
  <c r="Z158" i="1"/>
  <c r="Z157" i="1"/>
  <c r="Z155" i="1"/>
  <c r="Z148" i="1"/>
  <c r="Z149" i="1"/>
  <c r="Z150" i="1"/>
  <c r="Z151" i="1"/>
  <c r="Z152" i="1"/>
  <c r="Z144" i="1"/>
  <c r="Z143" i="1"/>
  <c r="Z141" i="1"/>
  <c r="Z139" i="1"/>
  <c r="Z138" i="1"/>
  <c r="Z135" i="1"/>
  <c r="Z136" i="1"/>
  <c r="Z134" i="1"/>
  <c r="Z132" i="1"/>
  <c r="Z131" i="1"/>
  <c r="Z130" i="1"/>
  <c r="Z129" i="1"/>
  <c r="Z121" i="1"/>
  <c r="Z122" i="1"/>
  <c r="Z123" i="1"/>
  <c r="Z124" i="1"/>
  <c r="Z120" i="1"/>
  <c r="Z108" i="1"/>
  <c r="Y110" i="1"/>
  <c r="Z110" i="1" s="1"/>
  <c r="Z111" i="1"/>
  <c r="Z112" i="1"/>
  <c r="Z114" i="1"/>
  <c r="Z115" i="1"/>
  <c r="Z107" i="1"/>
  <c r="Z101" i="1"/>
  <c r="Z102" i="1"/>
  <c r="Z100" i="1"/>
  <c r="Z97" i="1"/>
  <c r="Z98" i="1" s="1"/>
  <c r="Z92" i="1"/>
  <c r="Z91" i="1"/>
  <c r="Z88" i="1"/>
  <c r="Z86" i="1"/>
  <c r="Z74" i="1"/>
  <c r="Z75" i="1"/>
  <c r="Z76" i="1"/>
  <c r="Y77" i="1"/>
  <c r="Z77" i="1" s="1"/>
  <c r="Z78" i="1"/>
  <c r="Z79" i="1"/>
  <c r="Z80" i="1"/>
  <c r="Z81" i="1"/>
  <c r="Z83" i="1"/>
  <c r="Z68" i="1"/>
  <c r="Z69" i="1" s="1"/>
  <c r="Z64" i="1"/>
  <c r="Z63" i="1"/>
  <c r="Z57" i="1"/>
  <c r="Z60" i="1"/>
  <c r="Z61" i="1"/>
  <c r="Z46" i="1"/>
  <c r="Z49" i="1"/>
  <c r="Z40" i="1"/>
  <c r="Z36" i="1"/>
  <c r="Z37" i="1"/>
  <c r="Z30" i="1"/>
  <c r="Z32" i="1"/>
  <c r="Z33" i="1"/>
  <c r="Z28" i="1"/>
  <c r="Z27" i="1"/>
  <c r="Z10" i="1"/>
  <c r="Z11" i="1"/>
  <c r="Z12" i="1"/>
  <c r="Z15" i="1"/>
  <c r="Z16" i="1"/>
  <c r="Z19" i="1"/>
  <c r="Z22" i="1"/>
  <c r="Z23" i="1"/>
  <c r="Z9" i="1"/>
  <c r="X33" i="9"/>
  <c r="X8" i="9"/>
  <c r="X18" i="9"/>
  <c r="AD227" i="11"/>
  <c r="AD217" i="11"/>
  <c r="AD215" i="11"/>
  <c r="V8" i="9"/>
  <c r="U8" i="9"/>
  <c r="AD213" i="11"/>
  <c r="AD206" i="11"/>
  <c r="AD207" i="11"/>
  <c r="AC208" i="11"/>
  <c r="AC209" i="11" s="1"/>
  <c r="AD191" i="11"/>
  <c r="AD192" i="11"/>
  <c r="AD193" i="11"/>
  <c r="AD195" i="11"/>
  <c r="AD196" i="11"/>
  <c r="AD197" i="11"/>
  <c r="AD198" i="11"/>
  <c r="AD199" i="11"/>
  <c r="AD200" i="11"/>
  <c r="AD189" i="11"/>
  <c r="AD181" i="11"/>
  <c r="AD182" i="11"/>
  <c r="AD187" i="11" s="1"/>
  <c r="AD184" i="11"/>
  <c r="AD185" i="11"/>
  <c r="AC180" i="11"/>
  <c r="AD180" i="11" s="1"/>
  <c r="AD178" i="11"/>
  <c r="AD177" i="11"/>
  <c r="AD179" i="11" s="1"/>
  <c r="AD176" i="11"/>
  <c r="AD170" i="11"/>
  <c r="AD171" i="11"/>
  <c r="AD172" i="11"/>
  <c r="AD175" i="11" s="1"/>
  <c r="AD173" i="11"/>
  <c r="AD169" i="11"/>
  <c r="AD168" i="11"/>
  <c r="AD165" i="11"/>
  <c r="AD166" i="11" s="1"/>
  <c r="AD164" i="11"/>
  <c r="AD163" i="11"/>
  <c r="AD162" i="11"/>
  <c r="AD159" i="11"/>
  <c r="AD160" i="11" s="1"/>
  <c r="AD153" i="11"/>
  <c r="AD135" i="11"/>
  <c r="AC139" i="11"/>
  <c r="AD139" i="11" s="1"/>
  <c r="AD140" i="11"/>
  <c r="AD141" i="11"/>
  <c r="AD142" i="11"/>
  <c r="AD146" i="11"/>
  <c r="AD148" i="11"/>
  <c r="AD103" i="11"/>
  <c r="AD107" i="11"/>
  <c r="AD108" i="11"/>
  <c r="AD109" i="11"/>
  <c r="AD111" i="11"/>
  <c r="AD114" i="11"/>
  <c r="AD116" i="11"/>
  <c r="AD120" i="11"/>
  <c r="AD63" i="11"/>
  <c r="AD64" i="11"/>
  <c r="AD66" i="11"/>
  <c r="AD67" i="11"/>
  <c r="AD78" i="11"/>
  <c r="AD82" i="11"/>
  <c r="AD83" i="11"/>
  <c r="AD84" i="11"/>
  <c r="AD86" i="11"/>
  <c r="AD53" i="11"/>
  <c r="AD46" i="11"/>
  <c r="AD45" i="11"/>
  <c r="AD42" i="11"/>
  <c r="AD41" i="11"/>
  <c r="AD38" i="11"/>
  <c r="AD33" i="11"/>
  <c r="AD32" i="11"/>
  <c r="AD79" i="11"/>
  <c r="AD81" i="11"/>
  <c r="AB112" i="11"/>
  <c r="AD112" i="11"/>
  <c r="AB115" i="11"/>
  <c r="AD115" i="11"/>
  <c r="AB117" i="11"/>
  <c r="AD117" i="11"/>
  <c r="AB121" i="11"/>
  <c r="AD121" i="11"/>
  <c r="AB122" i="11"/>
  <c r="AD122" i="11"/>
  <c r="AB123" i="11"/>
  <c r="AD123" i="11"/>
  <c r="AB124" i="11"/>
  <c r="AD124" i="11"/>
  <c r="AD72" i="11"/>
  <c r="AD70" i="11"/>
  <c r="AD68" i="11"/>
  <c r="AD74" i="11"/>
  <c r="AD69" i="11"/>
  <c r="AD76" i="11"/>
  <c r="AD75" i="11"/>
  <c r="AD73" i="11"/>
  <c r="AD71" i="11"/>
  <c r="AB125" i="11"/>
  <c r="AD87" i="11"/>
  <c r="AD60" i="11"/>
  <c r="AB100" i="11"/>
  <c r="AB101" i="11"/>
  <c r="AB102" i="11"/>
  <c r="AB104" i="11"/>
  <c r="AB105" i="11"/>
  <c r="AB106" i="11"/>
  <c r="AD100" i="11"/>
  <c r="AD62" i="11"/>
  <c r="AB129" i="11"/>
  <c r="AD129" i="11"/>
  <c r="AB130" i="11"/>
  <c r="AD130" i="11"/>
  <c r="AB131" i="11"/>
  <c r="AD131" i="11"/>
  <c r="AB91" i="11"/>
  <c r="AD91" i="11"/>
  <c r="AB92" i="11"/>
  <c r="AD92" i="11"/>
  <c r="AD96" i="11" s="1"/>
  <c r="AB93" i="11"/>
  <c r="AD93" i="11"/>
  <c r="AB132" i="11"/>
  <c r="AD132" i="11"/>
  <c r="AD102" i="11"/>
  <c r="AD104" i="11"/>
  <c r="AB133" i="11"/>
  <c r="AD133" i="11"/>
  <c r="AB134" i="11"/>
  <c r="AD134" i="11"/>
  <c r="AB137" i="11"/>
  <c r="AD137" i="11"/>
  <c r="AB138" i="11"/>
  <c r="AD138" i="11"/>
  <c r="AB136" i="11"/>
  <c r="AD136" i="11"/>
  <c r="AB54" i="11"/>
  <c r="AD54" i="11"/>
  <c r="AB55" i="11"/>
  <c r="AB58" i="11" s="1"/>
  <c r="AD80" i="11"/>
  <c r="AD105" i="11"/>
  <c r="AD106" i="11"/>
  <c r="AB15" i="11"/>
  <c r="AD15" i="11"/>
  <c r="V10" i="9"/>
  <c r="U10" i="9"/>
  <c r="AC26" i="11"/>
  <c r="AD26" i="11" s="1"/>
  <c r="AD27" i="11"/>
  <c r="AD28" i="11"/>
  <c r="V31" i="9"/>
  <c r="V33" i="9"/>
  <c r="X65" i="1"/>
  <c r="V30" i="9" s="1"/>
  <c r="Y65" i="1"/>
  <c r="W30" i="9" s="1"/>
  <c r="AC65" i="1"/>
  <c r="X69" i="1"/>
  <c r="AC69" i="1"/>
  <c r="AC93" i="1"/>
  <c r="X98" i="1"/>
  <c r="AC98" i="1"/>
  <c r="AC105" i="1" s="1"/>
  <c r="X117" i="1"/>
  <c r="AC117" i="1"/>
  <c r="AC127" i="1"/>
  <c r="W17" i="9"/>
  <c r="AC153" i="1"/>
  <c r="X263" i="1"/>
  <c r="X302" i="1"/>
  <c r="Y302" i="1"/>
  <c r="AC302" i="1"/>
  <c r="X360" i="1"/>
  <c r="X370" i="1"/>
  <c r="X390" i="1"/>
  <c r="X398" i="1"/>
  <c r="X408" i="1"/>
  <c r="AC413" i="1"/>
  <c r="X413" i="1"/>
  <c r="Y463" i="1"/>
  <c r="AC427" i="1"/>
  <c r="X440" i="1"/>
  <c r="AC440" i="1"/>
  <c r="X455" i="1"/>
  <c r="AC455" i="1"/>
  <c r="X463" i="1"/>
  <c r="AC463" i="1"/>
  <c r="X470" i="1"/>
  <c r="AC470" i="1"/>
  <c r="X474" i="1"/>
  <c r="AC474" i="1"/>
  <c r="AC479" i="1" s="1"/>
  <c r="U27" i="9"/>
  <c r="W18" i="9"/>
  <c r="V9" i="9"/>
  <c r="V14" i="9"/>
  <c r="V16" i="9"/>
  <c r="V17" i="9"/>
  <c r="V18" i="9"/>
  <c r="U9" i="9"/>
  <c r="AA202" i="11"/>
  <c r="AA204" i="11" s="1"/>
  <c r="AA187" i="11"/>
  <c r="AA175" i="11"/>
  <c r="AA166" i="11"/>
  <c r="AA179" i="11"/>
  <c r="AB227" i="11"/>
  <c r="AB218" i="11"/>
  <c r="AB213" i="11"/>
  <c r="AB223" i="11"/>
  <c r="AB209" i="11"/>
  <c r="AB202" i="11"/>
  <c r="AB187" i="11"/>
  <c r="AB175" i="11"/>
  <c r="AB204" i="11" s="1"/>
  <c r="AB166" i="11"/>
  <c r="AB179" i="11"/>
  <c r="AB160" i="11"/>
  <c r="AB157" i="11"/>
  <c r="AB57" i="11"/>
  <c r="AD57" i="11"/>
  <c r="AB43" i="11"/>
  <c r="AB39" i="11"/>
  <c r="AB48" i="11" s="1"/>
  <c r="Y8" i="10" s="1"/>
  <c r="AB30" i="11"/>
  <c r="AB35" i="11"/>
  <c r="AB21" i="11"/>
  <c r="AB13" i="11"/>
  <c r="V7" i="9" s="1"/>
  <c r="AB7" i="11"/>
  <c r="AB8" i="11"/>
  <c r="AC227" i="11"/>
  <c r="AC218" i="11"/>
  <c r="AC175" i="11"/>
  <c r="AC179" i="11"/>
  <c r="AC43" i="11"/>
  <c r="AC13" i="11"/>
  <c r="W7" i="9" s="1"/>
  <c r="AD13" i="11"/>
  <c r="X7" i="9" s="1"/>
  <c r="AD9" i="11"/>
  <c r="X6" i="9" s="1"/>
  <c r="AA209" i="11"/>
  <c r="AA160" i="11"/>
  <c r="AA157" i="11"/>
  <c r="AA149" i="11"/>
  <c r="AA127" i="11"/>
  <c r="AA96" i="11"/>
  <c r="AA89" i="11"/>
  <c r="AA151" i="11" s="1"/>
  <c r="AA58" i="11"/>
  <c r="U29" i="11"/>
  <c r="X29" i="11" s="1"/>
  <c r="AA29" i="11" s="1"/>
  <c r="AA30" i="11" s="1"/>
  <c r="AA43" i="11"/>
  <c r="AA227" i="11"/>
  <c r="U214" i="11"/>
  <c r="X214" i="11" s="1"/>
  <c r="Z81" i="11"/>
  <c r="W81" i="11"/>
  <c r="T81" i="11"/>
  <c r="AA39" i="11"/>
  <c r="AA35" i="11"/>
  <c r="AA13" i="11"/>
  <c r="U7" i="9" s="1"/>
  <c r="R4" i="1"/>
  <c r="S4" i="1" s="1"/>
  <c r="T4" i="1" s="1"/>
  <c r="S5" i="1"/>
  <c r="T5" i="1" s="1"/>
  <c r="R6" i="1"/>
  <c r="S6" i="1" s="1"/>
  <c r="T6" i="1" s="1"/>
  <c r="R8" i="1"/>
  <c r="S8" i="1" s="1"/>
  <c r="R26" i="1"/>
  <c r="S26" i="1" s="1"/>
  <c r="T26" i="1" s="1"/>
  <c r="R29" i="1"/>
  <c r="S29" i="1" s="1"/>
  <c r="T29" i="1" s="1"/>
  <c r="R34" i="1"/>
  <c r="S34" i="1" s="1"/>
  <c r="T34" i="1" s="1"/>
  <c r="R35" i="1"/>
  <c r="S35" i="1" s="1"/>
  <c r="T35" i="1" s="1"/>
  <c r="R39" i="1"/>
  <c r="S39" i="1" s="1"/>
  <c r="T39" i="1" s="1"/>
  <c r="T45" i="1"/>
  <c r="R52" i="1"/>
  <c r="S52" i="1" s="1"/>
  <c r="T52" i="1" s="1"/>
  <c r="R53" i="1"/>
  <c r="S53" i="1" s="1"/>
  <c r="T53" i="1" s="1"/>
  <c r="R55" i="1"/>
  <c r="S55" i="1" s="1"/>
  <c r="T55" i="1" s="1"/>
  <c r="R72" i="1"/>
  <c r="S72" i="1" s="1"/>
  <c r="T72" i="1" s="1"/>
  <c r="R84" i="1"/>
  <c r="S84" i="1" s="1"/>
  <c r="T84" i="1" s="1"/>
  <c r="R87" i="1"/>
  <c r="S87" i="1" s="1"/>
  <c r="R94" i="1"/>
  <c r="S94" i="1" s="1"/>
  <c r="T94" i="1" s="1"/>
  <c r="R99" i="1"/>
  <c r="S99" i="1" s="1"/>
  <c r="R95" i="1"/>
  <c r="S95" i="1" s="1"/>
  <c r="T95" i="1" s="1"/>
  <c r="R106" i="1"/>
  <c r="S106" i="1" s="1"/>
  <c r="R118" i="1"/>
  <c r="S118" i="1" s="1"/>
  <c r="T118" i="1" s="1"/>
  <c r="R119" i="1"/>
  <c r="S119" i="1" s="1"/>
  <c r="T119" i="1" s="1"/>
  <c r="R137" i="1"/>
  <c r="S137" i="1" s="1"/>
  <c r="T137" i="1" s="1"/>
  <c r="R331" i="1"/>
  <c r="S331" i="1" s="1"/>
  <c r="T331" i="1" s="1"/>
  <c r="R340" i="1"/>
  <c r="S340" i="1" s="1"/>
  <c r="R347" i="1"/>
  <c r="S347" i="1" s="1"/>
  <c r="T347" i="1" s="1"/>
  <c r="R349" i="1"/>
  <c r="S349" i="1" s="1"/>
  <c r="T349" i="1" s="1"/>
  <c r="R361" i="1"/>
  <c r="S361" i="1" s="1"/>
  <c r="T361" i="1" s="1"/>
  <c r="R364" i="1"/>
  <c r="S364" i="1" s="1"/>
  <c r="T364" i="1" s="1"/>
  <c r="R464" i="1"/>
  <c r="S464" i="1" s="1"/>
  <c r="T464" i="1" s="1"/>
  <c r="R473" i="1"/>
  <c r="R474" i="1" s="1"/>
  <c r="R477" i="1"/>
  <c r="S477" i="1" s="1"/>
  <c r="T477" i="1" s="1"/>
  <c r="R85" i="1"/>
  <c r="S85" i="1" s="1"/>
  <c r="T85" i="1" s="1"/>
  <c r="R96" i="1"/>
  <c r="S96" i="1" s="1"/>
  <c r="T96" i="1" s="1"/>
  <c r="R142" i="1"/>
  <c r="S142" i="1" s="1"/>
  <c r="T142" i="1" s="1"/>
  <c r="R140" i="1"/>
  <c r="S140" i="1" s="1"/>
  <c r="T140" i="1" s="1"/>
  <c r="S22" i="9"/>
  <c r="V4" i="1"/>
  <c r="V5" i="1"/>
  <c r="V6" i="1"/>
  <c r="V8" i="1"/>
  <c r="V26" i="1"/>
  <c r="V29" i="1"/>
  <c r="V34" i="1"/>
  <c r="V35" i="1"/>
  <c r="V39" i="1"/>
  <c r="V45" i="1"/>
  <c r="V52" i="1"/>
  <c r="V53" i="1"/>
  <c r="V55" i="1"/>
  <c r="V72" i="1"/>
  <c r="V84" i="1"/>
  <c r="V87" i="1"/>
  <c r="V94" i="1"/>
  <c r="V99" i="1"/>
  <c r="V95" i="1"/>
  <c r="V106" i="1"/>
  <c r="V118" i="1"/>
  <c r="V119" i="1"/>
  <c r="V137" i="1"/>
  <c r="V331" i="1"/>
  <c r="V340" i="1"/>
  <c r="V347" i="1"/>
  <c r="V349" i="1"/>
  <c r="V361" i="1"/>
  <c r="V364" i="1"/>
  <c r="V464" i="1"/>
  <c r="V473" i="1"/>
  <c r="V474" i="1" s="1"/>
  <c r="V477" i="1"/>
  <c r="V85" i="1"/>
  <c r="V96" i="1"/>
  <c r="V142" i="1"/>
  <c r="V140" i="1"/>
  <c r="C24" i="9"/>
  <c r="D24" i="9"/>
  <c r="E24" i="9"/>
  <c r="W126" i="1"/>
  <c r="W127" i="1" s="1"/>
  <c r="V461" i="1"/>
  <c r="V462" i="1"/>
  <c r="V386" i="1"/>
  <c r="V387" i="1"/>
  <c r="V388" i="1"/>
  <c r="V389" i="1"/>
  <c r="V300" i="1"/>
  <c r="V302" i="1" s="1"/>
  <c r="U466" i="1"/>
  <c r="U470" i="1" s="1"/>
  <c r="U416" i="1"/>
  <c r="U427" i="1" s="1"/>
  <c r="U245" i="1"/>
  <c r="U263" i="1" s="1"/>
  <c r="W263" i="1"/>
  <c r="S25" i="9"/>
  <c r="U243" i="1"/>
  <c r="U192" i="1"/>
  <c r="U299" i="1"/>
  <c r="U326" i="1"/>
  <c r="U302" i="1"/>
  <c r="U153" i="1"/>
  <c r="W299" i="1"/>
  <c r="W326" i="1"/>
  <c r="W302" i="1"/>
  <c r="W153" i="1"/>
  <c r="V229" i="1"/>
  <c r="W98" i="1"/>
  <c r="W105" i="1" s="1"/>
  <c r="U463" i="1"/>
  <c r="U455" i="1"/>
  <c r="U440" i="1"/>
  <c r="U408" i="1"/>
  <c r="U398" i="1"/>
  <c r="U390" i="1"/>
  <c r="U385" i="1"/>
  <c r="U379" i="1"/>
  <c r="U413" i="1"/>
  <c r="U370" i="1"/>
  <c r="U360" i="1"/>
  <c r="U66" i="1"/>
  <c r="V66" i="1" s="1"/>
  <c r="U68" i="1"/>
  <c r="V68" i="1" s="1"/>
  <c r="U44" i="1"/>
  <c r="U65" i="1"/>
  <c r="S30" i="9" s="1"/>
  <c r="U62" i="1"/>
  <c r="U93" i="1"/>
  <c r="U117" i="1"/>
  <c r="U127" i="1"/>
  <c r="U98" i="1"/>
  <c r="U105" i="1" s="1"/>
  <c r="U483" i="1"/>
  <c r="T18" i="12" s="1"/>
  <c r="S27" i="9"/>
  <c r="S31" i="9"/>
  <c r="S33" i="9"/>
  <c r="V67" i="1"/>
  <c r="V7" i="1"/>
  <c r="V9" i="1"/>
  <c r="V10" i="1"/>
  <c r="V11" i="1"/>
  <c r="V12" i="1"/>
  <c r="V13" i="1"/>
  <c r="V14" i="1"/>
  <c r="V15" i="1"/>
  <c r="V16" i="1"/>
  <c r="V18" i="1"/>
  <c r="V19" i="1"/>
  <c r="V20" i="1"/>
  <c r="V21" i="1"/>
  <c r="V22" i="1"/>
  <c r="V23" i="1"/>
  <c r="V24" i="1"/>
  <c r="V25" i="1"/>
  <c r="V30" i="1"/>
  <c r="V31" i="1"/>
  <c r="V32" i="1"/>
  <c r="V33" i="1"/>
  <c r="V36" i="1"/>
  <c r="V37" i="1"/>
  <c r="V38" i="1"/>
  <c r="V40" i="1"/>
  <c r="V41" i="1"/>
  <c r="V42" i="1"/>
  <c r="V43" i="1"/>
  <c r="V46" i="1"/>
  <c r="V47" i="1"/>
  <c r="V48" i="1"/>
  <c r="V49" i="1"/>
  <c r="V50" i="1"/>
  <c r="V51" i="1"/>
  <c r="V56" i="1"/>
  <c r="V57" i="1"/>
  <c r="V58" i="1"/>
  <c r="V59" i="1"/>
  <c r="V60" i="1"/>
  <c r="V61" i="1"/>
  <c r="V63" i="1"/>
  <c r="V64" i="1"/>
  <c r="V73" i="1"/>
  <c r="V74" i="1"/>
  <c r="V75" i="1"/>
  <c r="V76" i="1"/>
  <c r="V78" i="1"/>
  <c r="V79" i="1"/>
  <c r="V80" i="1"/>
  <c r="V81" i="1"/>
  <c r="V88" i="1"/>
  <c r="V89" i="1"/>
  <c r="V91" i="1"/>
  <c r="V92" i="1"/>
  <c r="V97" i="1"/>
  <c r="V100" i="1"/>
  <c r="V101" i="1"/>
  <c r="V102" i="1"/>
  <c r="V107" i="1"/>
  <c r="V108" i="1"/>
  <c r="V109" i="1"/>
  <c r="V110" i="1"/>
  <c r="V111" i="1"/>
  <c r="V112" i="1"/>
  <c r="V113" i="1"/>
  <c r="V114" i="1"/>
  <c r="V124" i="1"/>
  <c r="V125" i="1"/>
  <c r="V126" i="1"/>
  <c r="V129" i="1"/>
  <c r="V130" i="1"/>
  <c r="V131" i="1"/>
  <c r="V132" i="1"/>
  <c r="V134" i="1"/>
  <c r="V135" i="1"/>
  <c r="V136" i="1"/>
  <c r="V138" i="1"/>
  <c r="V139" i="1"/>
  <c r="V144" i="1"/>
  <c r="V146" i="1"/>
  <c r="V154" i="1"/>
  <c r="V161" i="1"/>
  <c r="V162" i="1"/>
  <c r="V163" i="1"/>
  <c r="V164" i="1"/>
  <c r="V165" i="1"/>
  <c r="V166" i="1"/>
  <c r="V167" i="1"/>
  <c r="V168" i="1"/>
  <c r="V169" i="1"/>
  <c r="V170" i="1"/>
  <c r="V183" i="1"/>
  <c r="V193" i="1"/>
  <c r="V198" i="1"/>
  <c r="V201" i="1"/>
  <c r="V204" i="1"/>
  <c r="V207" i="1"/>
  <c r="V210" i="1"/>
  <c r="V213" i="1"/>
  <c r="V216" i="1"/>
  <c r="V219" i="1"/>
  <c r="V222" i="1"/>
  <c r="V226" i="1"/>
  <c r="V230" i="1"/>
  <c r="V231" i="1"/>
  <c r="V235" i="1"/>
  <c r="V254" i="1"/>
  <c r="V255" i="1"/>
  <c r="V256" i="1"/>
  <c r="V265" i="1"/>
  <c r="V277" i="1"/>
  <c r="V285" i="1"/>
  <c r="V304" i="1"/>
  <c r="V309" i="1"/>
  <c r="V316" i="1"/>
  <c r="V319" i="1"/>
  <c r="V233" i="1"/>
  <c r="V293" i="1"/>
  <c r="V171" i="1"/>
  <c r="V257" i="1"/>
  <c r="V147" i="1"/>
  <c r="V148" i="1"/>
  <c r="V149" i="1"/>
  <c r="V150" i="1"/>
  <c r="V151" i="1"/>
  <c r="V152" i="1"/>
  <c r="V155" i="1"/>
  <c r="V156" i="1"/>
  <c r="V157" i="1"/>
  <c r="V158" i="1"/>
  <c r="V159" i="1"/>
  <c r="V160" i="1"/>
  <c r="V172" i="1"/>
  <c r="V173" i="1"/>
  <c r="V174" i="1"/>
  <c r="V175" i="1"/>
  <c r="V176" i="1"/>
  <c r="V177" i="1"/>
  <c r="V178" i="1"/>
  <c r="V179" i="1"/>
  <c r="V180" i="1"/>
  <c r="V181" i="1"/>
  <c r="V184" i="1"/>
  <c r="V185" i="1"/>
  <c r="V186" i="1"/>
  <c r="V187" i="1"/>
  <c r="V188" i="1"/>
  <c r="V189" i="1"/>
  <c r="V190" i="1"/>
  <c r="V191" i="1"/>
  <c r="V195" i="1"/>
  <c r="V196" i="1"/>
  <c r="V197" i="1"/>
  <c r="V199" i="1"/>
  <c r="V200" i="1"/>
  <c r="V202" i="1"/>
  <c r="V203" i="1"/>
  <c r="V205" i="1"/>
  <c r="V206" i="1"/>
  <c r="V208" i="1"/>
  <c r="V209" i="1"/>
  <c r="V211" i="1"/>
  <c r="V212" i="1"/>
  <c r="V214" i="1"/>
  <c r="V215" i="1"/>
  <c r="V217" i="1"/>
  <c r="V218" i="1"/>
  <c r="V220" i="1"/>
  <c r="V221" i="1"/>
  <c r="V223" i="1"/>
  <c r="V224" i="1"/>
  <c r="V225" i="1"/>
  <c r="V228" i="1"/>
  <c r="V232" i="1"/>
  <c r="V234" i="1"/>
  <c r="V236" i="1"/>
  <c r="V237" i="1"/>
  <c r="V238" i="1"/>
  <c r="V239" i="1"/>
  <c r="V240" i="1"/>
  <c r="V241" i="1"/>
  <c r="V246" i="1"/>
  <c r="V247" i="1"/>
  <c r="V249" i="1"/>
  <c r="V250" i="1"/>
  <c r="V251" i="1"/>
  <c r="V252" i="1"/>
  <c r="V253" i="1"/>
  <c r="V266" i="1"/>
  <c r="V267" i="1"/>
  <c r="V268" i="1"/>
  <c r="V269" i="1"/>
  <c r="V270" i="1"/>
  <c r="V271" i="1"/>
  <c r="V272" i="1"/>
  <c r="V273" i="1"/>
  <c r="V274" i="1"/>
  <c r="V276" i="1"/>
  <c r="V278" i="1"/>
  <c r="V279" i="1"/>
  <c r="V280" i="1"/>
  <c r="V281" i="1"/>
  <c r="V282" i="1"/>
  <c r="V283" i="1"/>
  <c r="V284" i="1"/>
  <c r="V286" i="1"/>
  <c r="V287" i="1"/>
  <c r="V288" i="1"/>
  <c r="V289" i="1"/>
  <c r="V290" i="1"/>
  <c r="V291" i="1"/>
  <c r="V292" i="1"/>
  <c r="V294" i="1"/>
  <c r="V295" i="1"/>
  <c r="V296" i="1"/>
  <c r="V297" i="1"/>
  <c r="V298" i="1"/>
  <c r="V303" i="1"/>
  <c r="V305" i="1"/>
  <c r="V306" i="1"/>
  <c r="V307" i="1"/>
  <c r="V308" i="1"/>
  <c r="V310" i="1"/>
  <c r="V311" i="1"/>
  <c r="V312" i="1"/>
  <c r="V313" i="1"/>
  <c r="V314" i="1"/>
  <c r="V315" i="1"/>
  <c r="V318" i="1"/>
  <c r="V320" i="1"/>
  <c r="V321" i="1"/>
  <c r="V322" i="1"/>
  <c r="V324" i="1"/>
  <c r="V325" i="1"/>
  <c r="V332" i="1"/>
  <c r="V333" i="1"/>
  <c r="V335" i="1"/>
  <c r="V338" i="1"/>
  <c r="V339" i="1"/>
  <c r="V341" i="1"/>
  <c r="V342" i="1"/>
  <c r="V343" i="1"/>
  <c r="V344" i="1"/>
  <c r="V345" i="1"/>
  <c r="V346" i="1"/>
  <c r="V348" i="1"/>
  <c r="V350" i="1"/>
  <c r="V351" i="1"/>
  <c r="V352" i="1"/>
  <c r="V353" i="1"/>
  <c r="V354" i="1"/>
  <c r="V355" i="1"/>
  <c r="V356" i="1"/>
  <c r="V358" i="1"/>
  <c r="V362" i="1"/>
  <c r="V363" i="1"/>
  <c r="V365" i="1"/>
  <c r="V366" i="1"/>
  <c r="V367" i="1"/>
  <c r="V368" i="1"/>
  <c r="V369" i="1"/>
  <c r="V371" i="1"/>
  <c r="V372" i="1"/>
  <c r="V373" i="1"/>
  <c r="V374" i="1"/>
  <c r="V375" i="1"/>
  <c r="V376" i="1"/>
  <c r="V377" i="1"/>
  <c r="V378" i="1"/>
  <c r="V381" i="1"/>
  <c r="V382" i="1"/>
  <c r="V383" i="1"/>
  <c r="V394" i="1"/>
  <c r="V415" i="1"/>
  <c r="V443" i="1"/>
  <c r="V448" i="1"/>
  <c r="V449" i="1"/>
  <c r="V384" i="1"/>
  <c r="V391" i="1"/>
  <c r="V392" i="1"/>
  <c r="V393" i="1"/>
  <c r="V396" i="1"/>
  <c r="V397" i="1"/>
  <c r="V402" i="1"/>
  <c r="V403" i="1"/>
  <c r="V404" i="1"/>
  <c r="V405" i="1"/>
  <c r="V407" i="1"/>
  <c r="V409" i="1"/>
  <c r="V410" i="1"/>
  <c r="V411" i="1"/>
  <c r="V412" i="1"/>
  <c r="V414" i="1"/>
  <c r="V417" i="1"/>
  <c r="V418" i="1"/>
  <c r="V419" i="1"/>
  <c r="V420" i="1"/>
  <c r="V421" i="1"/>
  <c r="V422" i="1"/>
  <c r="V423" i="1"/>
  <c r="V424" i="1"/>
  <c r="V425" i="1"/>
  <c r="V426" i="1"/>
  <c r="V429" i="1"/>
  <c r="V430" i="1"/>
  <c r="V431" i="1"/>
  <c r="V432" i="1"/>
  <c r="V433" i="1"/>
  <c r="V434" i="1"/>
  <c r="V436" i="1"/>
  <c r="V437" i="1"/>
  <c r="V438" i="1"/>
  <c r="V439" i="1"/>
  <c r="V441" i="1"/>
  <c r="V442" i="1"/>
  <c r="V444" i="1"/>
  <c r="V445" i="1"/>
  <c r="V446" i="1"/>
  <c r="V447" i="1"/>
  <c r="V450" i="1"/>
  <c r="V451" i="1"/>
  <c r="V452" i="1"/>
  <c r="V453" i="1"/>
  <c r="V454" i="1"/>
  <c r="V456" i="1"/>
  <c r="V465" i="1"/>
  <c r="V467" i="1"/>
  <c r="V468" i="1"/>
  <c r="V469" i="1"/>
  <c r="V476" i="1"/>
  <c r="T31" i="9" s="1"/>
  <c r="T33" i="9"/>
  <c r="V482" i="1"/>
  <c r="V483" i="1" s="1"/>
  <c r="T32" i="9" s="1"/>
  <c r="V484" i="1"/>
  <c r="Z189" i="11"/>
  <c r="Z191" i="11"/>
  <c r="Z192" i="11"/>
  <c r="Z193" i="11"/>
  <c r="Z195" i="11"/>
  <c r="Z196" i="11"/>
  <c r="Z197" i="11"/>
  <c r="Z198" i="11"/>
  <c r="Z199" i="11"/>
  <c r="Z200" i="11"/>
  <c r="Z32" i="11"/>
  <c r="Z33" i="11"/>
  <c r="Z35" i="11" s="1"/>
  <c r="Z25" i="11"/>
  <c r="Z30" i="11" s="1"/>
  <c r="Z29" i="11"/>
  <c r="Z8" i="11"/>
  <c r="Z10" i="11"/>
  <c r="Z11" i="11"/>
  <c r="Z12" i="11"/>
  <c r="Z14" i="11"/>
  <c r="Z16" i="11"/>
  <c r="Z17" i="11"/>
  <c r="T14" i="9" s="1"/>
  <c r="Z19" i="11"/>
  <c r="T17" i="9" s="1"/>
  <c r="Z20" i="11"/>
  <c r="Z22" i="11"/>
  <c r="Z24" i="11"/>
  <c r="Z31" i="11"/>
  <c r="Z36" i="11"/>
  <c r="Z37" i="11"/>
  <c r="T15" i="9" s="1"/>
  <c r="Z38" i="11"/>
  <c r="Z40" i="11"/>
  <c r="Y41" i="11"/>
  <c r="Z41" i="11" s="1"/>
  <c r="Z42" i="11"/>
  <c r="Z43" i="11" s="1"/>
  <c r="Z44" i="11"/>
  <c r="Z45" i="11"/>
  <c r="Z47" i="11"/>
  <c r="Z49" i="11"/>
  <c r="Z50" i="11"/>
  <c r="Z58" i="11" s="1"/>
  <c r="Z51" i="11"/>
  <c r="Z52" i="11"/>
  <c r="Z53" i="11"/>
  <c r="Z54" i="11"/>
  <c r="Z55" i="11"/>
  <c r="Z56" i="11"/>
  <c r="Z59" i="11"/>
  <c r="Z60" i="11"/>
  <c r="Z61" i="11"/>
  <c r="Z62" i="11"/>
  <c r="Z63" i="11"/>
  <c r="Z64" i="11"/>
  <c r="Z65" i="11"/>
  <c r="Z66" i="11"/>
  <c r="Z67" i="11"/>
  <c r="Z68" i="11"/>
  <c r="Z69" i="11"/>
  <c r="Z70" i="11"/>
  <c r="Z71" i="11"/>
  <c r="Z72" i="11"/>
  <c r="Z73" i="11"/>
  <c r="Z74" i="11"/>
  <c r="Z75" i="11"/>
  <c r="Z76" i="11"/>
  <c r="Z77" i="11"/>
  <c r="Z78" i="11"/>
  <c r="Z79" i="11"/>
  <c r="Z80" i="11"/>
  <c r="Z82" i="11"/>
  <c r="Z83" i="11"/>
  <c r="Z84" i="11"/>
  <c r="Z85" i="11"/>
  <c r="Z86" i="11"/>
  <c r="Z88" i="11"/>
  <c r="Z91" i="11"/>
  <c r="Z92" i="11"/>
  <c r="Z96" i="11" s="1"/>
  <c r="Z93" i="11"/>
  <c r="Z95" i="11"/>
  <c r="Z97" i="11"/>
  <c r="Z98" i="11"/>
  <c r="Z127" i="11" s="1"/>
  <c r="Z99" i="11"/>
  <c r="Z100" i="11"/>
  <c r="Z101" i="11"/>
  <c r="Z102" i="11"/>
  <c r="Z103" i="11"/>
  <c r="Z104" i="11"/>
  <c r="Z105" i="11"/>
  <c r="Z106" i="11"/>
  <c r="Z107" i="11"/>
  <c r="Z108" i="11"/>
  <c r="Z109" i="11"/>
  <c r="Z110" i="11"/>
  <c r="Z111" i="11"/>
  <c r="Z112" i="11"/>
  <c r="Z113" i="11"/>
  <c r="Z114" i="11"/>
  <c r="Z115" i="11"/>
  <c r="Z116" i="11"/>
  <c r="Z117" i="11"/>
  <c r="Z118" i="11"/>
  <c r="Z119" i="11"/>
  <c r="Z120" i="11"/>
  <c r="Z121" i="11"/>
  <c r="Z122" i="11"/>
  <c r="Z123" i="11"/>
  <c r="Z124" i="11"/>
  <c r="Z125" i="11"/>
  <c r="Z126" i="11"/>
  <c r="Z128" i="11"/>
  <c r="Z129" i="11"/>
  <c r="Z130" i="11"/>
  <c r="Z131" i="11"/>
  <c r="Z149" i="11" s="1"/>
  <c r="Z132" i="11"/>
  <c r="Z133" i="11"/>
  <c r="Z134" i="11"/>
  <c r="Z135" i="11"/>
  <c r="Z136" i="11"/>
  <c r="Z137" i="11"/>
  <c r="Z138" i="11"/>
  <c r="Z139" i="11"/>
  <c r="Z140" i="11"/>
  <c r="Z141" i="11"/>
  <c r="Z142" i="11"/>
  <c r="Z143" i="11"/>
  <c r="Z146" i="11"/>
  <c r="Z148" i="11"/>
  <c r="Z150" i="11"/>
  <c r="Z152" i="11"/>
  <c r="Z153" i="11"/>
  <c r="Z154" i="11"/>
  <c r="Z155" i="11"/>
  <c r="Z156" i="11"/>
  <c r="Z157" i="11" s="1"/>
  <c r="Z158" i="11"/>
  <c r="Z159" i="11"/>
  <c r="Z160" i="11" s="1"/>
  <c r="Z161" i="11"/>
  <c r="Z162" i="11"/>
  <c r="Z166" i="11" s="1"/>
  <c r="Z163" i="11"/>
  <c r="Z164" i="11"/>
  <c r="Z165" i="11"/>
  <c r="Z167" i="11"/>
  <c r="Z168" i="11"/>
  <c r="Z169" i="11"/>
  <c r="Z170" i="11"/>
  <c r="Z175" i="11" s="1"/>
  <c r="Z171" i="11"/>
  <c r="Z172" i="11"/>
  <c r="Z173" i="11"/>
  <c r="Z176" i="11"/>
  <c r="Z177" i="11"/>
  <c r="Z178" i="11"/>
  <c r="Z180" i="11"/>
  <c r="Z181" i="11"/>
  <c r="Z182" i="11"/>
  <c r="Z187" i="11" s="1"/>
  <c r="Z184" i="11"/>
  <c r="Z185" i="11"/>
  <c r="Z188" i="11"/>
  <c r="Z203" i="11"/>
  <c r="Z205" i="11"/>
  <c r="Z206" i="11"/>
  <c r="Z207" i="11"/>
  <c r="Z208" i="11"/>
  <c r="Z210" i="11"/>
  <c r="Z212" i="11"/>
  <c r="Z213" i="11" s="1"/>
  <c r="Z214" i="11"/>
  <c r="Z215" i="11"/>
  <c r="Z218" i="11" s="1"/>
  <c r="Z216" i="11"/>
  <c r="Z217" i="11"/>
  <c r="Z220" i="11"/>
  <c r="Z221" i="11"/>
  <c r="Z223" i="11" s="1"/>
  <c r="Z224" i="11"/>
  <c r="Z225" i="11"/>
  <c r="Z226" i="11"/>
  <c r="Z227" i="11" s="1"/>
  <c r="Z228" i="11"/>
  <c r="Y160" i="11"/>
  <c r="Y35" i="11"/>
  <c r="S15" i="9"/>
  <c r="Y149" i="11"/>
  <c r="S9" i="9"/>
  <c r="S10" i="9"/>
  <c r="Y30" i="11"/>
  <c r="Y227" i="11"/>
  <c r="Y157" i="11"/>
  <c r="Y7" i="11"/>
  <c r="U31" i="9"/>
  <c r="U33" i="9"/>
  <c r="AC483" i="1"/>
  <c r="W413" i="1"/>
  <c r="Y223" i="11"/>
  <c r="AA223" i="11"/>
  <c r="Y218" i="11"/>
  <c r="Y213" i="11"/>
  <c r="Y209" i="11"/>
  <c r="Y202" i="11"/>
  <c r="Y187" i="11"/>
  <c r="Y179" i="11"/>
  <c r="Y175" i="11"/>
  <c r="Y166" i="11"/>
  <c r="Y96" i="11"/>
  <c r="Y89" i="11"/>
  <c r="Y58" i="11"/>
  <c r="Y39" i="11"/>
  <c r="Y21" i="11"/>
  <c r="AA21" i="11"/>
  <c r="AA9" i="11"/>
  <c r="Y13" i="11"/>
  <c r="Y23" i="11" s="1"/>
  <c r="S8" i="9"/>
  <c r="S14" i="9"/>
  <c r="U14" i="9"/>
  <c r="S16" i="9"/>
  <c r="U16" i="9"/>
  <c r="S17" i="9"/>
  <c r="U17" i="9"/>
  <c r="S18" i="9"/>
  <c r="T18" i="9"/>
  <c r="U18" i="9"/>
  <c r="T97" i="1"/>
  <c r="T21" i="1"/>
  <c r="S180" i="1"/>
  <c r="T180" i="1" s="1"/>
  <c r="T392" i="1"/>
  <c r="S377" i="1"/>
  <c r="S375" i="1"/>
  <c r="S354" i="1"/>
  <c r="S353" i="1"/>
  <c r="R350" i="1"/>
  <c r="S350" i="1" s="1"/>
  <c r="S392" i="1"/>
  <c r="S404" i="1"/>
  <c r="S433" i="1"/>
  <c r="S439" i="1"/>
  <c r="S441" i="1"/>
  <c r="S453" i="1"/>
  <c r="P10" i="9"/>
  <c r="P9" i="9"/>
  <c r="R104" i="1"/>
  <c r="R82" i="1"/>
  <c r="S82" i="1" s="1"/>
  <c r="R60" i="1"/>
  <c r="S60" i="1" s="1"/>
  <c r="R115" i="1"/>
  <c r="R41" i="1"/>
  <c r="S41" i="1" s="1"/>
  <c r="R36" i="1"/>
  <c r="R318" i="1"/>
  <c r="S318" i="1" s="1"/>
  <c r="R414" i="1"/>
  <c r="S414" i="1" s="1"/>
  <c r="R405" i="1"/>
  <c r="S405" i="1" s="1"/>
  <c r="S199" i="1"/>
  <c r="S200" i="1"/>
  <c r="S202" i="1"/>
  <c r="S203" i="1"/>
  <c r="S205" i="1"/>
  <c r="S206" i="1"/>
  <c r="S208" i="1"/>
  <c r="S209" i="1"/>
  <c r="S211" i="1"/>
  <c r="S212" i="1"/>
  <c r="S214" i="1"/>
  <c r="S215" i="1"/>
  <c r="S217" i="1"/>
  <c r="S218" i="1"/>
  <c r="S220" i="1"/>
  <c r="S221" i="1"/>
  <c r="S223" i="1"/>
  <c r="S224" i="1"/>
  <c r="R102" i="1"/>
  <c r="R63" i="1"/>
  <c r="R65" i="1" s="1"/>
  <c r="P30" i="9" s="1"/>
  <c r="R66" i="1"/>
  <c r="R69" i="1" s="1"/>
  <c r="P31" i="9"/>
  <c r="R31" i="9"/>
  <c r="P33" i="9"/>
  <c r="R33" i="9"/>
  <c r="R16" i="1"/>
  <c r="S16" i="1" s="1"/>
  <c r="R10" i="1"/>
  <c r="S10" i="1" s="1"/>
  <c r="T483" i="1"/>
  <c r="S18" i="12" s="1"/>
  <c r="Q33" i="9"/>
  <c r="Q31" i="9"/>
  <c r="S469" i="1"/>
  <c r="S468" i="1"/>
  <c r="S467" i="1"/>
  <c r="S466" i="1"/>
  <c r="S465" i="1"/>
  <c r="T465" i="1" s="1"/>
  <c r="S462" i="1"/>
  <c r="T462" i="1" s="1"/>
  <c r="T463" i="1" s="1"/>
  <c r="S461" i="1"/>
  <c r="S454" i="1"/>
  <c r="S452" i="1"/>
  <c r="S451" i="1"/>
  <c r="S447" i="1"/>
  <c r="T447" i="1" s="1"/>
  <c r="S446" i="1"/>
  <c r="S445" i="1"/>
  <c r="T445" i="1" s="1"/>
  <c r="S444" i="1"/>
  <c r="S442" i="1"/>
  <c r="T442" i="1" s="1"/>
  <c r="S438" i="1"/>
  <c r="T438" i="1" s="1"/>
  <c r="S437" i="1"/>
  <c r="T437" i="1" s="1"/>
  <c r="S434" i="1"/>
  <c r="T434" i="1" s="1"/>
  <c r="S432" i="1"/>
  <c r="T432" i="1" s="1"/>
  <c r="S431" i="1"/>
  <c r="T431" i="1" s="1"/>
  <c r="S430" i="1"/>
  <c r="S429" i="1"/>
  <c r="S426" i="1"/>
  <c r="S425" i="1"/>
  <c r="T424" i="1"/>
  <c r="S423" i="1"/>
  <c r="S422" i="1"/>
  <c r="S421" i="1"/>
  <c r="S420" i="1"/>
  <c r="S419" i="1"/>
  <c r="S418" i="1"/>
  <c r="S417" i="1"/>
  <c r="S416" i="1"/>
  <c r="S412" i="1"/>
  <c r="S411" i="1"/>
  <c r="S410" i="1"/>
  <c r="S403" i="1"/>
  <c r="S402" i="1"/>
  <c r="S397" i="1"/>
  <c r="S396" i="1"/>
  <c r="S393" i="1"/>
  <c r="S391" i="1"/>
  <c r="R394" i="1"/>
  <c r="R398" i="1" s="1"/>
  <c r="R386" i="1"/>
  <c r="S386" i="1" s="1"/>
  <c r="T386" i="1" s="1"/>
  <c r="T390" i="1" s="1"/>
  <c r="S387" i="1"/>
  <c r="S388" i="1"/>
  <c r="S389" i="1"/>
  <c r="T384" i="1"/>
  <c r="T382" i="1"/>
  <c r="S381" i="1"/>
  <c r="S378" i="1"/>
  <c r="S376" i="1"/>
  <c r="R371" i="1"/>
  <c r="R379" i="1" s="1"/>
  <c r="S372" i="1"/>
  <c r="S373" i="1"/>
  <c r="S369" i="1"/>
  <c r="S368" i="1"/>
  <c r="S367" i="1"/>
  <c r="S366" i="1"/>
  <c r="S365" i="1"/>
  <c r="S363" i="1"/>
  <c r="S362" i="1"/>
  <c r="S358" i="1"/>
  <c r="S356" i="1"/>
  <c r="S355" i="1"/>
  <c r="T354" i="1"/>
  <c r="S352" i="1"/>
  <c r="S351" i="1"/>
  <c r="T350" i="1"/>
  <c r="S348" i="1"/>
  <c r="S346" i="1"/>
  <c r="S345" i="1"/>
  <c r="S344" i="1"/>
  <c r="S343" i="1"/>
  <c r="S342" i="1"/>
  <c r="S341" i="1"/>
  <c r="S339" i="1"/>
  <c r="S338" i="1"/>
  <c r="S335" i="1"/>
  <c r="S334" i="1"/>
  <c r="S333" i="1"/>
  <c r="S332" i="1"/>
  <c r="S325" i="1"/>
  <c r="S322" i="1"/>
  <c r="S321" i="1"/>
  <c r="S320" i="1"/>
  <c r="S315" i="1"/>
  <c r="S314" i="1"/>
  <c r="S313" i="1"/>
  <c r="S312" i="1"/>
  <c r="S311" i="1"/>
  <c r="S310" i="1"/>
  <c r="S308" i="1"/>
  <c r="S307" i="1"/>
  <c r="S306" i="1"/>
  <c r="S305" i="1"/>
  <c r="S303" i="1"/>
  <c r="S298" i="1"/>
  <c r="S297" i="1"/>
  <c r="T296" i="1"/>
  <c r="S296" i="1"/>
  <c r="T295" i="1"/>
  <c r="S295" i="1"/>
  <c r="T294" i="1"/>
  <c r="S294" i="1"/>
  <c r="T292" i="1"/>
  <c r="S292" i="1"/>
  <c r="S291" i="1"/>
  <c r="S290" i="1"/>
  <c r="T289" i="1"/>
  <c r="S289" i="1"/>
  <c r="T288" i="1"/>
  <c r="S288" i="1"/>
  <c r="T287" i="1"/>
  <c r="S287" i="1"/>
  <c r="T286" i="1"/>
  <c r="S286" i="1"/>
  <c r="S284" i="1"/>
  <c r="S282" i="1"/>
  <c r="T281" i="1"/>
  <c r="S281" i="1"/>
  <c r="T280" i="1"/>
  <c r="S280" i="1"/>
  <c r="S273" i="1"/>
  <c r="S272" i="1"/>
  <c r="S271" i="1"/>
  <c r="S269" i="1"/>
  <c r="S268" i="1"/>
  <c r="S267" i="1"/>
  <c r="T266" i="1"/>
  <c r="S266" i="1"/>
  <c r="T253" i="1"/>
  <c r="S253" i="1"/>
  <c r="S252" i="1"/>
  <c r="S251" i="1"/>
  <c r="S250" i="1"/>
  <c r="S249" i="1"/>
  <c r="T247" i="1"/>
  <c r="S247" i="1"/>
  <c r="S246" i="1"/>
  <c r="T245" i="1"/>
  <c r="S245" i="1"/>
  <c r="R254" i="1"/>
  <c r="S254" i="1" s="1"/>
  <c r="T254" i="1" s="1"/>
  <c r="R255" i="1"/>
  <c r="S255" i="1" s="1"/>
  <c r="T255" i="1" s="1"/>
  <c r="R256" i="1"/>
  <c r="S256" i="1" s="1"/>
  <c r="R257" i="1"/>
  <c r="S257" i="1" s="1"/>
  <c r="T257" i="1" s="1"/>
  <c r="S241" i="1"/>
  <c r="S240" i="1"/>
  <c r="S239" i="1"/>
  <c r="S238" i="1"/>
  <c r="S237" i="1"/>
  <c r="S236" i="1"/>
  <c r="S234" i="1"/>
  <c r="T232" i="1"/>
  <c r="S232" i="1"/>
  <c r="S228" i="1"/>
  <c r="T224" i="1"/>
  <c r="T223" i="1"/>
  <c r="T221" i="1"/>
  <c r="T220" i="1"/>
  <c r="T218" i="1"/>
  <c r="T217" i="1"/>
  <c r="T215" i="1"/>
  <c r="T214" i="1"/>
  <c r="T212" i="1"/>
  <c r="T211" i="1"/>
  <c r="T209" i="1"/>
  <c r="T208" i="1"/>
  <c r="T206" i="1"/>
  <c r="T205" i="1"/>
  <c r="T203" i="1"/>
  <c r="T202" i="1"/>
  <c r="T200" i="1"/>
  <c r="T199" i="1"/>
  <c r="S197" i="1"/>
  <c r="S196" i="1"/>
  <c r="S195" i="1"/>
  <c r="T191" i="1"/>
  <c r="S191" i="1"/>
  <c r="T190" i="1"/>
  <c r="S190" i="1"/>
  <c r="S189" i="1"/>
  <c r="S188" i="1"/>
  <c r="S187" i="1"/>
  <c r="S186" i="1"/>
  <c r="S185" i="1"/>
  <c r="S184" i="1"/>
  <c r="S181" i="1"/>
  <c r="S179" i="1"/>
  <c r="S178" i="1"/>
  <c r="S177" i="1"/>
  <c r="S176" i="1"/>
  <c r="S175" i="1"/>
  <c r="S174" i="1"/>
  <c r="S173" i="1"/>
  <c r="S172" i="1"/>
  <c r="S160" i="1"/>
  <c r="S159" i="1"/>
  <c r="S157" i="1"/>
  <c r="S152" i="1"/>
  <c r="S151" i="1"/>
  <c r="S150" i="1"/>
  <c r="R146" i="1"/>
  <c r="R153" i="1" s="1"/>
  <c r="S147" i="1"/>
  <c r="S148" i="1"/>
  <c r="S149" i="1"/>
  <c r="T144" i="1"/>
  <c r="S144" i="1"/>
  <c r="S139" i="1"/>
  <c r="S138" i="1"/>
  <c r="S136" i="1"/>
  <c r="S135" i="1"/>
  <c r="T134" i="1"/>
  <c r="S134" i="1"/>
  <c r="S132" i="1"/>
  <c r="S131" i="1"/>
  <c r="S130" i="1"/>
  <c r="S129" i="1"/>
  <c r="S126" i="1"/>
  <c r="S125" i="1"/>
  <c r="S124" i="1"/>
  <c r="S114" i="1"/>
  <c r="S113" i="1"/>
  <c r="S112" i="1"/>
  <c r="S111" i="1"/>
  <c r="S110" i="1"/>
  <c r="S109" i="1"/>
  <c r="S107" i="1"/>
  <c r="S108" i="1"/>
  <c r="S73" i="1"/>
  <c r="S74" i="1"/>
  <c r="S75" i="1"/>
  <c r="S76" i="1"/>
  <c r="S78" i="1"/>
  <c r="S79" i="1"/>
  <c r="S80" i="1"/>
  <c r="S81" i="1"/>
  <c r="S88" i="1"/>
  <c r="S89" i="1"/>
  <c r="S91" i="1"/>
  <c r="S92" i="1"/>
  <c r="S100" i="1"/>
  <c r="S101" i="1"/>
  <c r="S97" i="1"/>
  <c r="T107" i="1"/>
  <c r="T102" i="1"/>
  <c r="S68" i="1"/>
  <c r="T68" i="1" s="1"/>
  <c r="S67" i="1"/>
  <c r="T67" i="1" s="1"/>
  <c r="S64" i="1"/>
  <c r="S61" i="1"/>
  <c r="S59" i="1"/>
  <c r="S58" i="1"/>
  <c r="S57" i="1"/>
  <c r="S56" i="1"/>
  <c r="S49" i="1"/>
  <c r="S48" i="1"/>
  <c r="S47" i="1"/>
  <c r="S46" i="1"/>
  <c r="Q50" i="1"/>
  <c r="T50" i="1" s="1"/>
  <c r="Q51" i="1"/>
  <c r="R51" i="1" s="1"/>
  <c r="S51" i="1" s="1"/>
  <c r="S43" i="1"/>
  <c r="S42" i="1"/>
  <c r="S40" i="1"/>
  <c r="S38" i="1"/>
  <c r="S37" i="1"/>
  <c r="S33" i="1"/>
  <c r="S32" i="1"/>
  <c r="S31" i="1"/>
  <c r="S30" i="1"/>
  <c r="S25" i="1"/>
  <c r="S24" i="1"/>
  <c r="S23" i="1"/>
  <c r="S22" i="1"/>
  <c r="S21" i="1"/>
  <c r="S20" i="1"/>
  <c r="S19" i="1"/>
  <c r="S18" i="1"/>
  <c r="S15" i="1"/>
  <c r="S14" i="1"/>
  <c r="S13" i="1"/>
  <c r="S12" i="1"/>
  <c r="S11" i="1"/>
  <c r="S9" i="1"/>
  <c r="S7" i="1"/>
  <c r="R383" i="1"/>
  <c r="S383" i="1" s="1"/>
  <c r="T383" i="1" s="1"/>
  <c r="R443" i="1"/>
  <c r="S443" i="1" s="1"/>
  <c r="T443" i="1" s="1"/>
  <c r="R448" i="1"/>
  <c r="S448" i="1" s="1"/>
  <c r="R449" i="1"/>
  <c r="S449" i="1" s="1"/>
  <c r="T449" i="1" s="1"/>
  <c r="R415" i="1"/>
  <c r="S415" i="1" s="1"/>
  <c r="R277" i="1"/>
  <c r="S277" i="1" s="1"/>
  <c r="T277" i="1" s="1"/>
  <c r="R45" i="1"/>
  <c r="R483" i="1"/>
  <c r="Q18" i="12" s="1"/>
  <c r="R168" i="1"/>
  <c r="S168" i="1" s="1"/>
  <c r="T168" i="1" s="1"/>
  <c r="R319" i="1"/>
  <c r="S319" i="1" s="1"/>
  <c r="T319" i="1" s="1"/>
  <c r="R316" i="1"/>
  <c r="S316" i="1" s="1"/>
  <c r="R309" i="1"/>
  <c r="S309" i="1" s="1"/>
  <c r="T309" i="1" s="1"/>
  <c r="R304" i="1"/>
  <c r="S304" i="1" s="1"/>
  <c r="T304" i="1" s="1"/>
  <c r="R293" i="1"/>
  <c r="S293" i="1" s="1"/>
  <c r="T293" i="1" s="1"/>
  <c r="R285" i="1"/>
  <c r="S285" i="1" s="1"/>
  <c r="T285" i="1" s="1"/>
  <c r="R265" i="1"/>
  <c r="S265" i="1" s="1"/>
  <c r="T265" i="1" s="1"/>
  <c r="R235" i="1"/>
  <c r="S235" i="1" s="1"/>
  <c r="T235" i="1" s="1"/>
  <c r="R233" i="1"/>
  <c r="S233" i="1" s="1"/>
  <c r="T233" i="1" s="1"/>
  <c r="R231" i="1"/>
  <c r="S231" i="1" s="1"/>
  <c r="T231" i="1" s="1"/>
  <c r="R230" i="1"/>
  <c r="S230" i="1" s="1"/>
  <c r="T230" i="1" s="1"/>
  <c r="R226" i="1"/>
  <c r="S226" i="1" s="1"/>
  <c r="T226" i="1" s="1"/>
  <c r="R222" i="1"/>
  <c r="S222" i="1" s="1"/>
  <c r="T222" i="1" s="1"/>
  <c r="R219" i="1"/>
  <c r="S219" i="1" s="1"/>
  <c r="T219" i="1" s="1"/>
  <c r="R216" i="1"/>
  <c r="S216" i="1" s="1"/>
  <c r="T216" i="1" s="1"/>
  <c r="R213" i="1"/>
  <c r="S213" i="1" s="1"/>
  <c r="T213" i="1" s="1"/>
  <c r="R210" i="1"/>
  <c r="S210" i="1" s="1"/>
  <c r="T210" i="1" s="1"/>
  <c r="R207" i="1"/>
  <c r="S207" i="1" s="1"/>
  <c r="T207" i="1" s="1"/>
  <c r="R204" i="1"/>
  <c r="S204" i="1" s="1"/>
  <c r="T204" i="1" s="1"/>
  <c r="R201" i="1"/>
  <c r="S201" i="1" s="1"/>
  <c r="T201" i="1" s="1"/>
  <c r="R198" i="1"/>
  <c r="S198" i="1" s="1"/>
  <c r="R193" i="1"/>
  <c r="S193" i="1" s="1"/>
  <c r="T193" i="1" s="1"/>
  <c r="R183" i="1"/>
  <c r="S183" i="1" s="1"/>
  <c r="T183" i="1" s="1"/>
  <c r="R170" i="1"/>
  <c r="S170" i="1" s="1"/>
  <c r="T170" i="1" s="1"/>
  <c r="R169" i="1"/>
  <c r="S169" i="1" s="1"/>
  <c r="T169" i="1" s="1"/>
  <c r="R167" i="1"/>
  <c r="S167" i="1" s="1"/>
  <c r="T167" i="1" s="1"/>
  <c r="R166" i="1"/>
  <c r="S166" i="1" s="1"/>
  <c r="T166" i="1" s="1"/>
  <c r="R165" i="1"/>
  <c r="S165" i="1" s="1"/>
  <c r="T165" i="1" s="1"/>
  <c r="R164" i="1"/>
  <c r="S164" i="1" s="1"/>
  <c r="T164" i="1" s="1"/>
  <c r="R163" i="1"/>
  <c r="S163" i="1" s="1"/>
  <c r="T163" i="1" s="1"/>
  <c r="R162" i="1"/>
  <c r="S162" i="1" s="1"/>
  <c r="R161" i="1"/>
  <c r="S161" i="1" s="1"/>
  <c r="T161" i="1" s="1"/>
  <c r="R154" i="1"/>
  <c r="S154" i="1" s="1"/>
  <c r="T154" i="1" s="1"/>
  <c r="T409" i="1"/>
  <c r="T413" i="1" s="1"/>
  <c r="T171" i="1"/>
  <c r="W226" i="11"/>
  <c r="W227" i="11" s="1"/>
  <c r="W212" i="11"/>
  <c r="W197" i="11"/>
  <c r="X197" i="11" s="1"/>
  <c r="W170" i="11"/>
  <c r="X170" i="11" s="1"/>
  <c r="W98" i="11"/>
  <c r="W42" i="11"/>
  <c r="W8" i="11"/>
  <c r="W7" i="11"/>
  <c r="V143" i="11"/>
  <c r="W143" i="11" s="1"/>
  <c r="V25" i="11"/>
  <c r="W25" i="11"/>
  <c r="V193" i="11"/>
  <c r="W193" i="11"/>
  <c r="X193" i="11" s="1"/>
  <c r="X202" i="11" s="1"/>
  <c r="V195" i="11"/>
  <c r="W195" i="11"/>
  <c r="X195" i="11" s="1"/>
  <c r="V196" i="11"/>
  <c r="W196" i="11" s="1"/>
  <c r="X196" i="11"/>
  <c r="V171" i="11"/>
  <c r="P8" i="9"/>
  <c r="P14" i="9"/>
  <c r="P16" i="9"/>
  <c r="P17" i="9"/>
  <c r="R17" i="9"/>
  <c r="P18" i="9"/>
  <c r="Q18" i="9"/>
  <c r="R18" i="9"/>
  <c r="V109" i="11"/>
  <c r="W109" i="11" s="1"/>
  <c r="V32" i="11"/>
  <c r="W32" i="11" s="1"/>
  <c r="W35" i="11" s="1"/>
  <c r="W18" i="11"/>
  <c r="Q16" i="9" s="1"/>
  <c r="V41" i="11"/>
  <c r="V43" i="11" s="1"/>
  <c r="V15" i="11"/>
  <c r="V11" i="11"/>
  <c r="W11" i="11" s="1"/>
  <c r="W13" i="11" s="1"/>
  <c r="V218" i="11"/>
  <c r="V219" i="11" s="1"/>
  <c r="V213" i="11"/>
  <c r="V209" i="11"/>
  <c r="V179" i="11"/>
  <c r="V166" i="11"/>
  <c r="V160" i="11"/>
  <c r="V157" i="11"/>
  <c r="V96" i="11"/>
  <c r="V89" i="11"/>
  <c r="V58" i="11"/>
  <c r="V39" i="11"/>
  <c r="V21" i="11"/>
  <c r="V23" i="11" s="1"/>
  <c r="V9" i="11"/>
  <c r="P6" i="9" s="1"/>
  <c r="V223" i="11"/>
  <c r="V227" i="11"/>
  <c r="W12" i="11"/>
  <c r="W17" i="11"/>
  <c r="Q14" i="9" s="1"/>
  <c r="X17" i="11"/>
  <c r="R14" i="9" s="1"/>
  <c r="X18" i="11"/>
  <c r="R16" i="9" s="1"/>
  <c r="Q17" i="9"/>
  <c r="X20" i="11"/>
  <c r="X21" i="11" s="1"/>
  <c r="W29" i="11"/>
  <c r="W33" i="11"/>
  <c r="X33" i="11"/>
  <c r="W37" i="11"/>
  <c r="W39" i="11" s="1"/>
  <c r="W38" i="11"/>
  <c r="X42" i="11"/>
  <c r="W50" i="11"/>
  <c r="W58" i="11" s="1"/>
  <c r="W52" i="11"/>
  <c r="X53" i="11"/>
  <c r="W54" i="11"/>
  <c r="W55" i="11"/>
  <c r="X55" i="11"/>
  <c r="X58" i="11" s="1"/>
  <c r="W60" i="11"/>
  <c r="W61" i="11"/>
  <c r="W62" i="11"/>
  <c r="W89" i="11" s="1"/>
  <c r="W63" i="11"/>
  <c r="W64" i="11"/>
  <c r="W65" i="11"/>
  <c r="W66" i="11"/>
  <c r="W67" i="11"/>
  <c r="W68" i="11"/>
  <c r="X68" i="11" s="1"/>
  <c r="W69" i="11"/>
  <c r="X69" i="11" s="1"/>
  <c r="W70" i="11"/>
  <c r="X70" i="11" s="1"/>
  <c r="X89" i="11" s="1"/>
  <c r="W71" i="11"/>
  <c r="X71" i="11" s="1"/>
  <c r="W72" i="11"/>
  <c r="X72" i="11" s="1"/>
  <c r="W73" i="11"/>
  <c r="X73" i="11" s="1"/>
  <c r="W74" i="11"/>
  <c r="X74" i="11" s="1"/>
  <c r="W75" i="11"/>
  <c r="X75" i="11" s="1"/>
  <c r="W76" i="11"/>
  <c r="X76" i="11" s="1"/>
  <c r="W77" i="11"/>
  <c r="W78" i="11"/>
  <c r="W79" i="11"/>
  <c r="W80" i="11"/>
  <c r="W82" i="11"/>
  <c r="W84" i="11"/>
  <c r="W85" i="11"/>
  <c r="W86" i="11"/>
  <c r="X78" i="11"/>
  <c r="X96" i="11"/>
  <c r="W91" i="11"/>
  <c r="W92" i="11"/>
  <c r="W93" i="11"/>
  <c r="W95" i="11"/>
  <c r="W100" i="11"/>
  <c r="W101" i="11"/>
  <c r="W102" i="11"/>
  <c r="W103" i="11"/>
  <c r="W104" i="11"/>
  <c r="X104" i="11"/>
  <c r="W105" i="11"/>
  <c r="W106" i="11"/>
  <c r="W107" i="11"/>
  <c r="W108" i="11"/>
  <c r="X108" i="11"/>
  <c r="W110" i="11"/>
  <c r="W111" i="11"/>
  <c r="W112" i="11"/>
  <c r="W113" i="11"/>
  <c r="X114" i="11"/>
  <c r="X127" i="11" s="1"/>
  <c r="W115" i="11"/>
  <c r="W116" i="11"/>
  <c r="X116" i="11"/>
  <c r="W117" i="11"/>
  <c r="W118" i="11"/>
  <c r="W119" i="11"/>
  <c r="X119" i="11"/>
  <c r="W120" i="11"/>
  <c r="W121" i="11"/>
  <c r="W122" i="11"/>
  <c r="X122" i="11"/>
  <c r="W123" i="11"/>
  <c r="W124" i="11"/>
  <c r="W125" i="11"/>
  <c r="W129" i="11"/>
  <c r="W130" i="11"/>
  <c r="W131" i="11"/>
  <c r="W132" i="11"/>
  <c r="W133" i="11"/>
  <c r="W134" i="11"/>
  <c r="W135" i="11"/>
  <c r="W136" i="11"/>
  <c r="W137" i="11"/>
  <c r="X137" i="11"/>
  <c r="W138" i="11"/>
  <c r="W140" i="11"/>
  <c r="X140" i="11"/>
  <c r="W141" i="11"/>
  <c r="W142" i="11"/>
  <c r="W146" i="11"/>
  <c r="W153" i="11"/>
  <c r="W155" i="11"/>
  <c r="W157" i="11" s="1"/>
  <c r="W162" i="11"/>
  <c r="W163" i="11"/>
  <c r="W164" i="11"/>
  <c r="X164" i="11" s="1"/>
  <c r="W165" i="11"/>
  <c r="W168" i="11"/>
  <c r="X168" i="11" s="1"/>
  <c r="W169" i="11"/>
  <c r="X169" i="11" s="1"/>
  <c r="W172" i="11"/>
  <c r="X172" i="11" s="1"/>
  <c r="W173" i="11"/>
  <c r="X173" i="11" s="1"/>
  <c r="W180" i="11"/>
  <c r="X180" i="11" s="1"/>
  <c r="W181" i="11"/>
  <c r="X181" i="11" s="1"/>
  <c r="W182" i="11"/>
  <c r="X182" i="11" s="1"/>
  <c r="W184" i="11"/>
  <c r="X184" i="11" s="1"/>
  <c r="W185" i="11"/>
  <c r="X185" i="11" s="1"/>
  <c r="W189" i="11"/>
  <c r="X189" i="11" s="1"/>
  <c r="W191" i="11"/>
  <c r="X191" i="11" s="1"/>
  <c r="W192" i="11"/>
  <c r="X192" i="11" s="1"/>
  <c r="W198" i="11"/>
  <c r="X198" i="11" s="1"/>
  <c r="W199" i="11"/>
  <c r="X199" i="11" s="1"/>
  <c r="W200" i="11"/>
  <c r="X200" i="11" s="1"/>
  <c r="W206" i="11"/>
  <c r="W207" i="11"/>
  <c r="W214" i="11"/>
  <c r="W215" i="11"/>
  <c r="W216" i="11"/>
  <c r="W217" i="11"/>
  <c r="W221" i="11"/>
  <c r="W225" i="11"/>
  <c r="Q22" i="1"/>
  <c r="Q356" i="1"/>
  <c r="Q358" i="1"/>
  <c r="Q355" i="1"/>
  <c r="Q129" i="1"/>
  <c r="T129" i="1" s="1"/>
  <c r="Q125" i="1"/>
  <c r="Q104" i="1"/>
  <c r="T104" i="1" s="1"/>
  <c r="Q99" i="1"/>
  <c r="Q100" i="1"/>
  <c r="T100" i="1" s="1"/>
  <c r="Q101" i="1"/>
  <c r="T101" i="1" s="1"/>
  <c r="Q98" i="1"/>
  <c r="Q64" i="1"/>
  <c r="T64" i="1" s="1"/>
  <c r="T65" i="1" s="1"/>
  <c r="R30" i="9" s="1"/>
  <c r="Q60" i="1"/>
  <c r="Q41" i="1"/>
  <c r="Q13" i="1"/>
  <c r="O17" i="9"/>
  <c r="O16" i="9"/>
  <c r="Q338" i="1"/>
  <c r="O14" i="9"/>
  <c r="O18" i="9"/>
  <c r="Q135" i="1"/>
  <c r="T135" i="1" s="1"/>
  <c r="Q157" i="1"/>
  <c r="Q175" i="1"/>
  <c r="T175" i="1" s="1"/>
  <c r="Q177" i="1"/>
  <c r="Q156" i="1"/>
  <c r="Q78" i="1"/>
  <c r="T78" i="1" s="1"/>
  <c r="Q106" i="1"/>
  <c r="Q81" i="1"/>
  <c r="U60" i="11"/>
  <c r="U95" i="11"/>
  <c r="U52" i="11"/>
  <c r="U58" i="11" s="1"/>
  <c r="Q4" i="1"/>
  <c r="Q5" i="1"/>
  <c r="Q6" i="1"/>
  <c r="Q8" i="1"/>
  <c r="Q29" i="1"/>
  <c r="Q34" i="1"/>
  <c r="Q35" i="1"/>
  <c r="Q39" i="1"/>
  <c r="Q52" i="1"/>
  <c r="Q53" i="1"/>
  <c r="Q55" i="1"/>
  <c r="Q72" i="1"/>
  <c r="Q84" i="1"/>
  <c r="Q87" i="1"/>
  <c r="Q118" i="1"/>
  <c r="Q119" i="1"/>
  <c r="Q124" i="1"/>
  <c r="Q137" i="1"/>
  <c r="Q331" i="1"/>
  <c r="Q340" i="1"/>
  <c r="Q347" i="1"/>
  <c r="Q349" i="1"/>
  <c r="Q361" i="1"/>
  <c r="Q364" i="1"/>
  <c r="Q464" i="1"/>
  <c r="Q473" i="1"/>
  <c r="Q474" i="1" s="1"/>
  <c r="Q140" i="1"/>
  <c r="Q142" i="1"/>
  <c r="Q73" i="1"/>
  <c r="T73" i="1" s="1"/>
  <c r="Q74" i="1"/>
  <c r="Q75" i="1"/>
  <c r="Q76" i="1"/>
  <c r="Q79" i="1"/>
  <c r="Q80" i="1"/>
  <c r="Q82" i="1"/>
  <c r="Q88" i="1"/>
  <c r="T88" i="1" s="1"/>
  <c r="Q89" i="1"/>
  <c r="Q91" i="1"/>
  <c r="Q92" i="1"/>
  <c r="Q108" i="1"/>
  <c r="Q109" i="1"/>
  <c r="T109" i="1" s="1"/>
  <c r="Q111" i="1"/>
  <c r="Q112" i="1"/>
  <c r="Q114" i="1"/>
  <c r="Q115" i="1"/>
  <c r="T115" i="1" s="1"/>
  <c r="Q130" i="1"/>
  <c r="Q131" i="1"/>
  <c r="Q138" i="1"/>
  <c r="Q139" i="1"/>
  <c r="T139" i="1" s="1"/>
  <c r="Q332" i="1"/>
  <c r="Q335" i="1"/>
  <c r="T335" i="1" s="1"/>
  <c r="Q341" i="1"/>
  <c r="Q342" i="1"/>
  <c r="Q343" i="1"/>
  <c r="Q344" i="1"/>
  <c r="T344" i="1" s="1"/>
  <c r="Q345" i="1"/>
  <c r="Q346" i="1"/>
  <c r="Q348" i="1"/>
  <c r="Q351" i="1"/>
  <c r="T351" i="1" s="1"/>
  <c r="Q352" i="1"/>
  <c r="Q353" i="1"/>
  <c r="T353" i="1" s="1"/>
  <c r="Q154" i="1"/>
  <c r="Q159" i="1"/>
  <c r="Q161" i="1"/>
  <c r="Q162" i="1"/>
  <c r="Q163" i="1"/>
  <c r="Q164" i="1"/>
  <c r="Q165" i="1"/>
  <c r="Q166" i="1"/>
  <c r="Q167" i="1"/>
  <c r="Q168" i="1"/>
  <c r="Q169" i="1"/>
  <c r="Q170" i="1"/>
  <c r="Q172" i="1"/>
  <c r="Q174" i="1"/>
  <c r="Q178" i="1"/>
  <c r="Q179" i="1"/>
  <c r="Q181" i="1"/>
  <c r="T181" i="1" s="1"/>
  <c r="Q183" i="1"/>
  <c r="Q184" i="1"/>
  <c r="Q185" i="1"/>
  <c r="T185" i="1" s="1"/>
  <c r="Q186" i="1"/>
  <c r="Q187" i="1"/>
  <c r="T187" i="1" s="1"/>
  <c r="Q189" i="1"/>
  <c r="Q254" i="1"/>
  <c r="Q255" i="1"/>
  <c r="Q256" i="1"/>
  <c r="Q265" i="1"/>
  <c r="Q268" i="1"/>
  <c r="T268" i="1" s="1"/>
  <c r="Q270" i="1"/>
  <c r="Q271" i="1"/>
  <c r="T271" i="1" s="1"/>
  <c r="Q273" i="1"/>
  <c r="Q277" i="1"/>
  <c r="Q285" i="1"/>
  <c r="Q291" i="1"/>
  <c r="T291" i="1" s="1"/>
  <c r="Q303" i="1"/>
  <c r="Q304" i="1"/>
  <c r="Q305" i="1"/>
  <c r="Q306" i="1"/>
  <c r="T306" i="1" s="1"/>
  <c r="Q307" i="1"/>
  <c r="T307" i="1" s="1"/>
  <c r="Q308" i="1"/>
  <c r="T308" i="1" s="1"/>
  <c r="Q309" i="1"/>
  <c r="Q310" i="1"/>
  <c r="T310" i="1" s="1"/>
  <c r="Q311" i="1"/>
  <c r="T311" i="1" s="1"/>
  <c r="Q312" i="1"/>
  <c r="Q313" i="1"/>
  <c r="T313" i="1" s="1"/>
  <c r="Q314" i="1"/>
  <c r="Q315" i="1"/>
  <c r="Q316" i="1"/>
  <c r="Q318" i="1"/>
  <c r="T318" i="1" s="1"/>
  <c r="Q319" i="1"/>
  <c r="Q320" i="1"/>
  <c r="T320" i="1" s="1"/>
  <c r="Q321" i="1"/>
  <c r="Q322" i="1"/>
  <c r="S302" i="1"/>
  <c r="Q193" i="1"/>
  <c r="Q226" i="1"/>
  <c r="Q228" i="1"/>
  <c r="M230" i="1"/>
  <c r="P230" i="1" s="1"/>
  <c r="Q231" i="1"/>
  <c r="Q235" i="1"/>
  <c r="Q236" i="1"/>
  <c r="T236" i="1" s="1"/>
  <c r="Q237" i="1"/>
  <c r="Q238" i="1"/>
  <c r="T238" i="1" s="1"/>
  <c r="Q239" i="1"/>
  <c r="T239" i="1" s="1"/>
  <c r="Q240" i="1"/>
  <c r="T240" i="1" s="1"/>
  <c r="Q146" i="1"/>
  <c r="Q148" i="1"/>
  <c r="Q149" i="1"/>
  <c r="Q150" i="1"/>
  <c r="Q151" i="1"/>
  <c r="Q152" i="1"/>
  <c r="T152" i="1" s="1"/>
  <c r="Q465" i="1"/>
  <c r="Q466" i="1"/>
  <c r="Q467" i="1"/>
  <c r="Q468" i="1"/>
  <c r="T468" i="1" s="1"/>
  <c r="Q469" i="1"/>
  <c r="T469" i="1" s="1"/>
  <c r="Q461" i="1"/>
  <c r="Q462" i="1"/>
  <c r="Q456" i="1"/>
  <c r="T456" i="1" s="1"/>
  <c r="Q443" i="1"/>
  <c r="Q444" i="1"/>
  <c r="T444" i="1" s="1"/>
  <c r="Q445" i="1"/>
  <c r="Q447" i="1"/>
  <c r="Q448" i="1"/>
  <c r="Q449" i="1"/>
  <c r="Q451" i="1"/>
  <c r="T451" i="1" s="1"/>
  <c r="Q452" i="1"/>
  <c r="T452" i="1" s="1"/>
  <c r="Q453" i="1"/>
  <c r="Q454" i="1"/>
  <c r="Q429" i="1"/>
  <c r="T429" i="1" s="1"/>
  <c r="Q430" i="1"/>
  <c r="T430" i="1" s="1"/>
  <c r="Q436" i="1"/>
  <c r="T436" i="1" s="1"/>
  <c r="Q439" i="1"/>
  <c r="T439" i="1" s="1"/>
  <c r="Q432" i="1"/>
  <c r="Q433" i="1"/>
  <c r="Q437" i="1"/>
  <c r="M438" i="1"/>
  <c r="O438" i="1" s="1"/>
  <c r="Q414" i="1"/>
  <c r="Q415" i="1"/>
  <c r="Q416" i="1"/>
  <c r="T416" i="1" s="1"/>
  <c r="Q417" i="1"/>
  <c r="Q418" i="1"/>
  <c r="T418" i="1" s="1"/>
  <c r="Q419" i="1"/>
  <c r="Q420" i="1"/>
  <c r="Q421" i="1"/>
  <c r="T421" i="1" s="1"/>
  <c r="Q422" i="1"/>
  <c r="Q423" i="1"/>
  <c r="Q425" i="1"/>
  <c r="Q426" i="1"/>
  <c r="T426" i="1" s="1"/>
  <c r="O408" i="1"/>
  <c r="Q402" i="1"/>
  <c r="T402" i="1" s="1"/>
  <c r="Q403" i="1"/>
  <c r="Q404" i="1"/>
  <c r="Q405" i="1"/>
  <c r="Q391" i="1"/>
  <c r="T391" i="1" s="1"/>
  <c r="Q393" i="1"/>
  <c r="T393" i="1" s="1"/>
  <c r="Q394" i="1"/>
  <c r="Q396" i="1"/>
  <c r="T396" i="1" s="1"/>
  <c r="Q397" i="1"/>
  <c r="Q386" i="1"/>
  <c r="Q388" i="1"/>
  <c r="Q389" i="1"/>
  <c r="Q381" i="1"/>
  <c r="Q385" i="1" s="1"/>
  <c r="Q371" i="1"/>
  <c r="Q372" i="1"/>
  <c r="T372" i="1" s="1"/>
  <c r="Q373" i="1"/>
  <c r="Q374" i="1"/>
  <c r="T374" i="1" s="1"/>
  <c r="Q375" i="1"/>
  <c r="T375" i="1" s="1"/>
  <c r="Q376" i="1"/>
  <c r="T376" i="1" s="1"/>
  <c r="Q377" i="1"/>
  <c r="T377" i="1" s="1"/>
  <c r="Q378" i="1"/>
  <c r="Q362" i="1"/>
  <c r="Q363" i="1"/>
  <c r="Q365" i="1"/>
  <c r="Q366" i="1"/>
  <c r="Q367" i="1"/>
  <c r="Q368" i="1"/>
  <c r="T368" i="1" s="1"/>
  <c r="Q369" i="1"/>
  <c r="Q63" i="1"/>
  <c r="Q48" i="1"/>
  <c r="T48" i="1" s="1"/>
  <c r="Q56" i="1"/>
  <c r="T56" i="1" s="1"/>
  <c r="Q58" i="1"/>
  <c r="T58" i="1" s="1"/>
  <c r="Q49" i="1"/>
  <c r="Q57" i="1"/>
  <c r="Q59" i="1"/>
  <c r="Q61" i="1"/>
  <c r="Q46" i="1"/>
  <c r="Q47" i="1"/>
  <c r="Q66" i="1"/>
  <c r="Q67" i="1"/>
  <c r="Q68" i="1"/>
  <c r="Q7" i="1"/>
  <c r="Q15" i="1"/>
  <c r="Q19" i="1"/>
  <c r="Q25" i="1"/>
  <c r="Q30" i="1"/>
  <c r="Q31" i="1"/>
  <c r="Q32" i="1"/>
  <c r="T32" i="1" s="1"/>
  <c r="Q33" i="1"/>
  <c r="T33" i="1" s="1"/>
  <c r="M37" i="1"/>
  <c r="P37" i="1" s="1"/>
  <c r="Q38" i="1"/>
  <c r="Q40" i="1"/>
  <c r="Q42" i="1"/>
  <c r="Q476" i="1"/>
  <c r="U96" i="11"/>
  <c r="U103" i="11"/>
  <c r="U107" i="11"/>
  <c r="U127" i="11" s="1"/>
  <c r="U141" i="11"/>
  <c r="U132" i="11"/>
  <c r="X132" i="11" s="1"/>
  <c r="U146" i="11"/>
  <c r="X146" i="11" s="1"/>
  <c r="R9" i="9"/>
  <c r="S67" i="11"/>
  <c r="M9" i="9" s="1"/>
  <c r="U212" i="11"/>
  <c r="U163" i="11"/>
  <c r="U168" i="11"/>
  <c r="U184" i="11"/>
  <c r="O10" i="9" s="1"/>
  <c r="U197" i="11"/>
  <c r="U155" i="11"/>
  <c r="U207" i="11"/>
  <c r="X207" i="11" s="1"/>
  <c r="U221" i="11"/>
  <c r="U225" i="11"/>
  <c r="X225" i="11" s="1"/>
  <c r="X227" i="11" s="1"/>
  <c r="U226" i="11"/>
  <c r="S215" i="11"/>
  <c r="U215" i="11" s="1"/>
  <c r="U216" i="11"/>
  <c r="U217" i="11"/>
  <c r="X217" i="11" s="1"/>
  <c r="X213" i="11"/>
  <c r="U208" i="11"/>
  <c r="X208" i="11" s="1"/>
  <c r="Q191" i="11"/>
  <c r="T191" i="11" s="1"/>
  <c r="U192" i="11"/>
  <c r="U198" i="11"/>
  <c r="U199" i="11"/>
  <c r="U180" i="11"/>
  <c r="U181" i="11"/>
  <c r="U182" i="11"/>
  <c r="U169" i="11"/>
  <c r="U170" i="11"/>
  <c r="U171" i="11"/>
  <c r="U172" i="11"/>
  <c r="U173" i="11"/>
  <c r="U162" i="11"/>
  <c r="U164" i="11"/>
  <c r="U165" i="11"/>
  <c r="U153" i="11"/>
  <c r="U159" i="11"/>
  <c r="X159" i="11" s="1"/>
  <c r="U206" i="11"/>
  <c r="X206" i="11" s="1"/>
  <c r="X209" i="11" s="1"/>
  <c r="F4" i="1"/>
  <c r="K4" i="1"/>
  <c r="P4" i="1"/>
  <c r="K5" i="1"/>
  <c r="M5" i="1"/>
  <c r="P5" i="1" s="1"/>
  <c r="K6" i="1"/>
  <c r="K8" i="1"/>
  <c r="K9" i="1"/>
  <c r="K10" i="1"/>
  <c r="K11" i="1"/>
  <c r="K12" i="1"/>
  <c r="K13" i="1"/>
  <c r="K14" i="1"/>
  <c r="K15" i="1"/>
  <c r="K16" i="1"/>
  <c r="K18" i="1"/>
  <c r="K19" i="1"/>
  <c r="K20" i="1"/>
  <c r="K21" i="1"/>
  <c r="K22" i="1"/>
  <c r="K23" i="1"/>
  <c r="K24" i="1"/>
  <c r="K25" i="1"/>
  <c r="K26" i="1"/>
  <c r="K29" i="1"/>
  <c r="K30" i="1"/>
  <c r="K31" i="1"/>
  <c r="K32" i="1"/>
  <c r="K33" i="1"/>
  <c r="K34" i="1"/>
  <c r="K35" i="1"/>
  <c r="K37" i="1"/>
  <c r="K38" i="1"/>
  <c r="K39" i="1"/>
  <c r="K40" i="1"/>
  <c r="K42" i="1"/>
  <c r="M6" i="1"/>
  <c r="P6" i="1" s="1"/>
  <c r="M7" i="1"/>
  <c r="P7" i="1" s="1"/>
  <c r="M8" i="1"/>
  <c r="P8" i="1" s="1"/>
  <c r="G9" i="1"/>
  <c r="M9" i="1"/>
  <c r="P9" i="1" s="1"/>
  <c r="P10" i="1"/>
  <c r="G11" i="1"/>
  <c r="P11" i="1"/>
  <c r="M12" i="1"/>
  <c r="P12" i="1" s="1"/>
  <c r="F13" i="1"/>
  <c r="P13" i="1"/>
  <c r="M14" i="1"/>
  <c r="P14" i="1" s="1"/>
  <c r="M15" i="1"/>
  <c r="P15" i="1" s="1"/>
  <c r="M16" i="1"/>
  <c r="P16" i="1" s="1"/>
  <c r="M18" i="1"/>
  <c r="P18" i="1" s="1"/>
  <c r="G19" i="1"/>
  <c r="G22" i="1"/>
  <c r="G23" i="1"/>
  <c r="G24" i="1"/>
  <c r="G36" i="1"/>
  <c r="G41" i="1"/>
  <c r="G42" i="1"/>
  <c r="M19" i="1"/>
  <c r="P19" i="1" s="1"/>
  <c r="M20" i="1"/>
  <c r="P20" i="1" s="1"/>
  <c r="Q20" i="1"/>
  <c r="T20" i="1" s="1"/>
  <c r="M21" i="1"/>
  <c r="P21" i="1" s="1"/>
  <c r="M22" i="1"/>
  <c r="P22" i="1" s="1"/>
  <c r="M23" i="1"/>
  <c r="P23" i="1" s="1"/>
  <c r="E24" i="1"/>
  <c r="M24" i="1"/>
  <c r="P24" i="1" s="1"/>
  <c r="M25" i="1"/>
  <c r="P25" i="1" s="1"/>
  <c r="M26" i="1"/>
  <c r="P26" i="1" s="1"/>
  <c r="F29" i="1"/>
  <c r="M29" i="1"/>
  <c r="P29" i="1" s="1"/>
  <c r="N29" i="1"/>
  <c r="N44" i="1" s="1"/>
  <c r="M30" i="1"/>
  <c r="P30" i="1" s="1"/>
  <c r="M31" i="1"/>
  <c r="P31" i="1" s="1"/>
  <c r="M32" i="1"/>
  <c r="P32" i="1" s="1"/>
  <c r="E33" i="1"/>
  <c r="M33" i="1"/>
  <c r="P33" i="1" s="1"/>
  <c r="F34" i="1"/>
  <c r="M34" i="1"/>
  <c r="P34" i="1" s="1"/>
  <c r="M35" i="1"/>
  <c r="P35" i="1" s="1"/>
  <c r="M36" i="1"/>
  <c r="P36" i="1" s="1"/>
  <c r="M38" i="1"/>
  <c r="P38" i="1" s="1"/>
  <c r="F39" i="1"/>
  <c r="M39" i="1"/>
  <c r="P39" i="1" s="1"/>
  <c r="M40" i="1"/>
  <c r="P40" i="1" s="1"/>
  <c r="E41" i="1"/>
  <c r="M41" i="1"/>
  <c r="P41" i="1" s="1"/>
  <c r="M42" i="1"/>
  <c r="P42" i="1" s="1"/>
  <c r="C44" i="1"/>
  <c r="D44" i="1"/>
  <c r="H44" i="1"/>
  <c r="I44" i="1"/>
  <c r="J44" i="1"/>
  <c r="L44" i="1"/>
  <c r="F45" i="1"/>
  <c r="F49" i="1"/>
  <c r="F52" i="1"/>
  <c r="F55" i="1"/>
  <c r="K45" i="1"/>
  <c r="M45" i="1"/>
  <c r="P45" i="1" s="1"/>
  <c r="K46" i="1"/>
  <c r="K47" i="1"/>
  <c r="K48" i="1"/>
  <c r="K52" i="1"/>
  <c r="K53" i="1"/>
  <c r="K55" i="1"/>
  <c r="K56" i="1"/>
  <c r="K57" i="1"/>
  <c r="K58" i="1"/>
  <c r="K59" i="1"/>
  <c r="K60" i="1"/>
  <c r="K61" i="1"/>
  <c r="M46" i="1"/>
  <c r="P46" i="1" s="1"/>
  <c r="M47" i="1"/>
  <c r="P47" i="1" s="1"/>
  <c r="G48" i="1"/>
  <c r="M48" i="1"/>
  <c r="P48" i="1" s="1"/>
  <c r="G49" i="1"/>
  <c r="H49" i="1"/>
  <c r="P49" i="1"/>
  <c r="M50" i="1"/>
  <c r="P50" i="1" s="1"/>
  <c r="E51" i="1"/>
  <c r="E60" i="1"/>
  <c r="G51" i="1"/>
  <c r="M51" i="1"/>
  <c r="P51" i="1" s="1"/>
  <c r="M52" i="1"/>
  <c r="P52" i="1" s="1"/>
  <c r="M53" i="1"/>
  <c r="P53" i="1" s="1"/>
  <c r="M55" i="1"/>
  <c r="P55" i="1" s="1"/>
  <c r="M56" i="1"/>
  <c r="P56" i="1" s="1"/>
  <c r="M57" i="1"/>
  <c r="P57" i="1" s="1"/>
  <c r="M58" i="1"/>
  <c r="P58" i="1" s="1"/>
  <c r="M59" i="1"/>
  <c r="P59" i="1" s="1"/>
  <c r="M60" i="1"/>
  <c r="P60" i="1" s="1"/>
  <c r="M61" i="1"/>
  <c r="P61" i="1" s="1"/>
  <c r="H55" i="1"/>
  <c r="G56" i="1"/>
  <c r="G59" i="1"/>
  <c r="G60" i="1"/>
  <c r="G61" i="1"/>
  <c r="C62" i="1"/>
  <c r="D62" i="1"/>
  <c r="I62" i="1"/>
  <c r="J62" i="1"/>
  <c r="L62" i="1"/>
  <c r="N62" i="1"/>
  <c r="F63" i="1"/>
  <c r="F65" i="1" s="1"/>
  <c r="F30" i="9" s="1"/>
  <c r="G63" i="1"/>
  <c r="K63" i="1"/>
  <c r="K65" i="1" s="1"/>
  <c r="K30" i="9" s="1"/>
  <c r="M63" i="1"/>
  <c r="P63" i="1" s="1"/>
  <c r="G64" i="1"/>
  <c r="H64" i="1"/>
  <c r="H65" i="1" s="1"/>
  <c r="H30" i="9" s="1"/>
  <c r="M64" i="1"/>
  <c r="P64" i="1" s="1"/>
  <c r="W65" i="1"/>
  <c r="U30" i="9" s="1"/>
  <c r="C65" i="1"/>
  <c r="C30" i="9" s="1"/>
  <c r="D65" i="1"/>
  <c r="D30" i="9" s="1"/>
  <c r="E65" i="1"/>
  <c r="E30" i="9" s="1"/>
  <c r="I65" i="1"/>
  <c r="I30" i="9" s="1"/>
  <c r="J65" i="1"/>
  <c r="J30" i="9" s="1"/>
  <c r="L65" i="1"/>
  <c r="N65" i="1"/>
  <c r="L30" i="9" s="1"/>
  <c r="O65" i="1"/>
  <c r="M30" i="9" s="1"/>
  <c r="C66" i="1"/>
  <c r="E66" i="1"/>
  <c r="F66" i="1"/>
  <c r="H66" i="1"/>
  <c r="K66" i="1"/>
  <c r="L66" i="1"/>
  <c r="P66" i="1" s="1"/>
  <c r="L67" i="1"/>
  <c r="P67" i="1" s="1"/>
  <c r="L68" i="1"/>
  <c r="P68" i="1" s="1"/>
  <c r="N66" i="1"/>
  <c r="N67" i="1"/>
  <c r="N68" i="1"/>
  <c r="C67" i="1"/>
  <c r="E67" i="1"/>
  <c r="F67" i="1"/>
  <c r="H67" i="1"/>
  <c r="K67" i="1"/>
  <c r="C68" i="1"/>
  <c r="E68" i="1"/>
  <c r="F68" i="1"/>
  <c r="H68" i="1"/>
  <c r="K68" i="1"/>
  <c r="D69" i="1"/>
  <c r="G69" i="1"/>
  <c r="I69" i="1"/>
  <c r="J69" i="1"/>
  <c r="M69" i="1"/>
  <c r="O69" i="1"/>
  <c r="E243" i="1"/>
  <c r="E192" i="1"/>
  <c r="E263" i="1"/>
  <c r="E299" i="1"/>
  <c r="E318" i="1"/>
  <c r="E326" i="1" s="1"/>
  <c r="E302" i="1"/>
  <c r="E153" i="1"/>
  <c r="E470" i="1"/>
  <c r="E463" i="1"/>
  <c r="E455" i="1"/>
  <c r="E440" i="1"/>
  <c r="E427" i="1"/>
  <c r="E408" i="1"/>
  <c r="E398" i="1"/>
  <c r="E390" i="1"/>
  <c r="E385" i="1"/>
  <c r="E379" i="1"/>
  <c r="E413" i="1"/>
  <c r="E370" i="1"/>
  <c r="E360" i="1"/>
  <c r="E81" i="1"/>
  <c r="E93" i="1" s="1"/>
  <c r="E117" i="1"/>
  <c r="E130" i="1"/>
  <c r="E127" i="1"/>
  <c r="E98" i="1"/>
  <c r="E105" i="1" s="1"/>
  <c r="E474" i="1"/>
  <c r="F18" i="12"/>
  <c r="K72" i="1"/>
  <c r="M72" i="1"/>
  <c r="P72" i="1" s="1"/>
  <c r="K73" i="1"/>
  <c r="K74" i="1"/>
  <c r="K75" i="1"/>
  <c r="K76" i="1"/>
  <c r="K78" i="1"/>
  <c r="K79" i="1"/>
  <c r="K80" i="1"/>
  <c r="K81" i="1"/>
  <c r="K82" i="1"/>
  <c r="K84" i="1"/>
  <c r="K87" i="1"/>
  <c r="K88" i="1"/>
  <c r="K89" i="1"/>
  <c r="K91" i="1"/>
  <c r="K92" i="1"/>
  <c r="P73" i="1"/>
  <c r="M74" i="1"/>
  <c r="P74" i="1" s="1"/>
  <c r="M75" i="1"/>
  <c r="P75" i="1" s="1"/>
  <c r="M76" i="1"/>
  <c r="P76" i="1" s="1"/>
  <c r="M78" i="1"/>
  <c r="P78" i="1" s="1"/>
  <c r="M79" i="1"/>
  <c r="P79" i="1" s="1"/>
  <c r="F80" i="1"/>
  <c r="G80" i="1"/>
  <c r="H80" i="1"/>
  <c r="P80" i="1"/>
  <c r="G81" i="1"/>
  <c r="M81" i="1"/>
  <c r="P81" i="1" s="1"/>
  <c r="H82" i="1"/>
  <c r="P82" i="1"/>
  <c r="F84" i="1"/>
  <c r="M84" i="1"/>
  <c r="P84" i="1" s="1"/>
  <c r="F87" i="1"/>
  <c r="M87" i="1"/>
  <c r="P87" i="1" s="1"/>
  <c r="M88" i="1"/>
  <c r="P88" i="1" s="1"/>
  <c r="M89" i="1"/>
  <c r="P89" i="1" s="1"/>
  <c r="G91" i="1"/>
  <c r="M91" i="1"/>
  <c r="P91" i="1" s="1"/>
  <c r="G92" i="1"/>
  <c r="M92" i="1"/>
  <c r="P92" i="1" s="1"/>
  <c r="C93" i="1"/>
  <c r="D93" i="1"/>
  <c r="I93" i="1"/>
  <c r="J93" i="1"/>
  <c r="L93" i="1"/>
  <c r="N93" i="1"/>
  <c r="K94" i="1"/>
  <c r="M94" i="1"/>
  <c r="P94" i="1" s="1"/>
  <c r="M95" i="1"/>
  <c r="P95" i="1" s="1"/>
  <c r="M97" i="1"/>
  <c r="P97" i="1" s="1"/>
  <c r="K97" i="1"/>
  <c r="K99" i="1"/>
  <c r="K100" i="1"/>
  <c r="K101" i="1"/>
  <c r="C98" i="1"/>
  <c r="C105" i="1" s="1"/>
  <c r="D98" i="1"/>
  <c r="D105" i="1" s="1"/>
  <c r="F98" i="1"/>
  <c r="G98" i="1"/>
  <c r="H98" i="1"/>
  <c r="I98" i="1"/>
  <c r="I105" i="1" s="1"/>
  <c r="J98" i="1"/>
  <c r="J105" i="1" s="1"/>
  <c r="J117" i="1"/>
  <c r="J127" i="1"/>
  <c r="L98" i="1"/>
  <c r="L105" i="1" s="1"/>
  <c r="N98" i="1"/>
  <c r="N105" i="1" s="1"/>
  <c r="O98" i="1"/>
  <c r="O104" i="1"/>
  <c r="F99" i="1"/>
  <c r="M99" i="1"/>
  <c r="P99" i="1" s="1"/>
  <c r="M100" i="1"/>
  <c r="P100" i="1" s="1"/>
  <c r="M101" i="1"/>
  <c r="P101" i="1" s="1"/>
  <c r="M102" i="1"/>
  <c r="P102" i="1" s="1"/>
  <c r="P104" i="1"/>
  <c r="G101" i="1"/>
  <c r="H101" i="1"/>
  <c r="H105" i="1" s="1"/>
  <c r="K106" i="1"/>
  <c r="M106" i="1"/>
  <c r="P106" i="1" s="1"/>
  <c r="K107" i="1"/>
  <c r="M107" i="1"/>
  <c r="P107" i="1" s="1"/>
  <c r="M108" i="1"/>
  <c r="P108" i="1" s="1"/>
  <c r="M109" i="1"/>
  <c r="P109" i="1" s="1"/>
  <c r="M110" i="1"/>
  <c r="P110" i="1" s="1"/>
  <c r="M111" i="1"/>
  <c r="P111" i="1" s="1"/>
  <c r="M112" i="1"/>
  <c r="P112" i="1" s="1"/>
  <c r="M113" i="1"/>
  <c r="P113" i="1" s="1"/>
  <c r="M114" i="1"/>
  <c r="P114" i="1" s="1"/>
  <c r="M115" i="1"/>
  <c r="K108" i="1"/>
  <c r="K109" i="1"/>
  <c r="K110" i="1"/>
  <c r="K111" i="1"/>
  <c r="K112" i="1"/>
  <c r="K113" i="1"/>
  <c r="K114" i="1"/>
  <c r="G111" i="1"/>
  <c r="G113" i="1"/>
  <c r="H111" i="1"/>
  <c r="H117" i="1" s="1"/>
  <c r="C117" i="1"/>
  <c r="D117" i="1"/>
  <c r="D127" i="1"/>
  <c r="F117" i="1"/>
  <c r="I117" i="1"/>
  <c r="L117" i="1"/>
  <c r="L127" i="1"/>
  <c r="N117" i="1"/>
  <c r="K118" i="1"/>
  <c r="M118" i="1"/>
  <c r="P118" i="1" s="1"/>
  <c r="K119" i="1"/>
  <c r="K124" i="1"/>
  <c r="K126" i="1"/>
  <c r="K129" i="1"/>
  <c r="K131" i="1"/>
  <c r="K132" i="1"/>
  <c r="K134" i="1"/>
  <c r="K135" i="1"/>
  <c r="K136" i="1"/>
  <c r="K137" i="1"/>
  <c r="K138" i="1"/>
  <c r="K139" i="1"/>
  <c r="M119" i="1"/>
  <c r="P119" i="1" s="1"/>
  <c r="G124" i="1"/>
  <c r="M124" i="1"/>
  <c r="P124" i="1" s="1"/>
  <c r="M125" i="1"/>
  <c r="P125" i="1" s="1"/>
  <c r="M126" i="1"/>
  <c r="P126" i="1" s="1"/>
  <c r="G126" i="1"/>
  <c r="G127" i="1" s="1"/>
  <c r="C127" i="1"/>
  <c r="F127" i="1"/>
  <c r="H127" i="1"/>
  <c r="I127" i="1"/>
  <c r="N127" i="1"/>
  <c r="O127" i="1"/>
  <c r="G129" i="1"/>
  <c r="H129" i="1"/>
  <c r="M129" i="1"/>
  <c r="P129" i="1" s="1"/>
  <c r="H130" i="1"/>
  <c r="M130" i="1"/>
  <c r="P130" i="1" s="1"/>
  <c r="M131" i="1"/>
  <c r="P131" i="1" s="1"/>
  <c r="G132" i="1"/>
  <c r="M132" i="1"/>
  <c r="P132" i="1" s="1"/>
  <c r="H134" i="1"/>
  <c r="M134" i="1"/>
  <c r="P134" i="1" s="1"/>
  <c r="G135" i="1"/>
  <c r="M135" i="1"/>
  <c r="P135" i="1" s="1"/>
  <c r="M136" i="1"/>
  <c r="P136" i="1" s="1"/>
  <c r="M137" i="1"/>
  <c r="P137" i="1" s="1"/>
  <c r="M138" i="1"/>
  <c r="P138" i="1" s="1"/>
  <c r="M139" i="1"/>
  <c r="P139" i="1" s="1"/>
  <c r="M140" i="1"/>
  <c r="P140" i="1" s="1"/>
  <c r="P142" i="1"/>
  <c r="O144" i="1"/>
  <c r="P144" i="1"/>
  <c r="K146" i="1"/>
  <c r="M146" i="1"/>
  <c r="P146" i="1" s="1"/>
  <c r="P147" i="1"/>
  <c r="K148" i="1"/>
  <c r="K149" i="1"/>
  <c r="K150" i="1"/>
  <c r="K151" i="1"/>
  <c r="K152" i="1"/>
  <c r="M148" i="1"/>
  <c r="M149" i="1"/>
  <c r="P149" i="1" s="1"/>
  <c r="M150" i="1"/>
  <c r="P150" i="1" s="1"/>
  <c r="M151" i="1"/>
  <c r="P151" i="1" s="1"/>
  <c r="M152" i="1"/>
  <c r="P152" i="1" s="1"/>
  <c r="G150" i="1"/>
  <c r="G153" i="1" s="1"/>
  <c r="M193" i="1"/>
  <c r="P193" i="1" s="1"/>
  <c r="M196" i="1"/>
  <c r="P196" i="1" s="1"/>
  <c r="M197" i="1"/>
  <c r="P197" i="1" s="1"/>
  <c r="M198" i="1"/>
  <c r="P198" i="1" s="1"/>
  <c r="M201" i="1"/>
  <c r="P201" i="1" s="1"/>
  <c r="M204" i="1"/>
  <c r="P204" i="1" s="1"/>
  <c r="M207" i="1"/>
  <c r="P207" i="1" s="1"/>
  <c r="M210" i="1"/>
  <c r="P210" i="1" s="1"/>
  <c r="M213" i="1"/>
  <c r="P213" i="1" s="1"/>
  <c r="M216" i="1"/>
  <c r="P216" i="1" s="1"/>
  <c r="M219" i="1"/>
  <c r="P219" i="1" s="1"/>
  <c r="M222" i="1"/>
  <c r="P222" i="1" s="1"/>
  <c r="M226" i="1"/>
  <c r="P226" i="1" s="1"/>
  <c r="M228" i="1"/>
  <c r="P228" i="1" s="1"/>
  <c r="M231" i="1"/>
  <c r="P231" i="1" s="1"/>
  <c r="M235" i="1"/>
  <c r="P235" i="1" s="1"/>
  <c r="M236" i="1"/>
  <c r="P236" i="1" s="1"/>
  <c r="M237" i="1"/>
  <c r="P237" i="1" s="1"/>
  <c r="M238" i="1"/>
  <c r="P238" i="1" s="1"/>
  <c r="M239" i="1"/>
  <c r="P239" i="1" s="1"/>
  <c r="M240" i="1"/>
  <c r="P240" i="1" s="1"/>
  <c r="M241" i="1"/>
  <c r="P241" i="1" s="1"/>
  <c r="M154" i="1"/>
  <c r="P154" i="1" s="1"/>
  <c r="M157" i="1"/>
  <c r="P157" i="1" s="1"/>
  <c r="M158" i="1"/>
  <c r="P158" i="1" s="1"/>
  <c r="M159" i="1"/>
  <c r="M160" i="1"/>
  <c r="P160" i="1" s="1"/>
  <c r="M161" i="1"/>
  <c r="P161" i="1" s="1"/>
  <c r="M162" i="1"/>
  <c r="P162" i="1" s="1"/>
  <c r="M163" i="1"/>
  <c r="P163" i="1" s="1"/>
  <c r="M164" i="1"/>
  <c r="P164" i="1" s="1"/>
  <c r="M165" i="1"/>
  <c r="P165" i="1" s="1"/>
  <c r="M166" i="1"/>
  <c r="P166" i="1" s="1"/>
  <c r="M167" i="1"/>
  <c r="P167" i="1" s="1"/>
  <c r="M168" i="1"/>
  <c r="P168" i="1" s="1"/>
  <c r="M169" i="1"/>
  <c r="P169" i="1" s="1"/>
  <c r="M170" i="1"/>
  <c r="P170" i="1" s="1"/>
  <c r="M172" i="1"/>
  <c r="P172" i="1" s="1"/>
  <c r="M173" i="1"/>
  <c r="P173" i="1" s="1"/>
  <c r="M175" i="1"/>
  <c r="P175" i="1" s="1"/>
  <c r="M176" i="1"/>
  <c r="P176" i="1" s="1"/>
  <c r="M177" i="1"/>
  <c r="P177" i="1" s="1"/>
  <c r="M178" i="1"/>
  <c r="P178" i="1" s="1"/>
  <c r="M179" i="1"/>
  <c r="P179" i="1" s="1"/>
  <c r="M180" i="1"/>
  <c r="P180" i="1" s="1"/>
  <c r="M181" i="1"/>
  <c r="P181" i="1" s="1"/>
  <c r="M183" i="1"/>
  <c r="P183" i="1" s="1"/>
  <c r="M184" i="1"/>
  <c r="P184" i="1" s="1"/>
  <c r="M185" i="1"/>
  <c r="P185" i="1" s="1"/>
  <c r="M186" i="1"/>
  <c r="P186" i="1" s="1"/>
  <c r="M187" i="1"/>
  <c r="P187" i="1" s="1"/>
  <c r="M188" i="1"/>
  <c r="P188" i="1" s="1"/>
  <c r="M189" i="1"/>
  <c r="P189" i="1" s="1"/>
  <c r="L263" i="1"/>
  <c r="M263" i="1" s="1"/>
  <c r="M265" i="1"/>
  <c r="P265" i="1" s="1"/>
  <c r="M266" i="1"/>
  <c r="P266" i="1" s="1"/>
  <c r="M267" i="1"/>
  <c r="P267" i="1" s="1"/>
  <c r="M271" i="1"/>
  <c r="P271" i="1" s="1"/>
  <c r="M272" i="1"/>
  <c r="P272" i="1" s="1"/>
  <c r="M273" i="1"/>
  <c r="P273" i="1" s="1"/>
  <c r="M274" i="1"/>
  <c r="P274" i="1" s="1"/>
  <c r="M276" i="1"/>
  <c r="P276" i="1" s="1"/>
  <c r="M277" i="1"/>
  <c r="P277" i="1" s="1"/>
  <c r="M278" i="1"/>
  <c r="P278" i="1" s="1"/>
  <c r="M280" i="1"/>
  <c r="P280" i="1" s="1"/>
  <c r="M281" i="1"/>
  <c r="P281" i="1" s="1"/>
  <c r="M282" i="1"/>
  <c r="P282" i="1" s="1"/>
  <c r="M283" i="1"/>
  <c r="P283" i="1" s="1"/>
  <c r="M284" i="1"/>
  <c r="P284" i="1" s="1"/>
  <c r="M285" i="1"/>
  <c r="P285" i="1" s="1"/>
  <c r="M286" i="1"/>
  <c r="O286" i="1" s="1"/>
  <c r="M287" i="1"/>
  <c r="O287" i="1" s="1"/>
  <c r="M288" i="1"/>
  <c r="O288" i="1" s="1"/>
  <c r="M289" i="1"/>
  <c r="P289" i="1" s="1"/>
  <c r="M290" i="1"/>
  <c r="P290" i="1" s="1"/>
  <c r="M291" i="1"/>
  <c r="P291" i="1" s="1"/>
  <c r="M292" i="1"/>
  <c r="P292" i="1" s="1"/>
  <c r="M303" i="1"/>
  <c r="P303" i="1" s="1"/>
  <c r="M304" i="1"/>
  <c r="P304" i="1" s="1"/>
  <c r="M307" i="1"/>
  <c r="P307" i="1" s="1"/>
  <c r="O326" i="1"/>
  <c r="M308" i="1"/>
  <c r="P308" i="1" s="1"/>
  <c r="M309" i="1"/>
  <c r="P309" i="1" s="1"/>
  <c r="M311" i="1"/>
  <c r="P311" i="1" s="1"/>
  <c r="M313" i="1"/>
  <c r="P313" i="1" s="1"/>
  <c r="M314" i="1"/>
  <c r="P314" i="1" s="1"/>
  <c r="M316" i="1"/>
  <c r="P316" i="1" s="1"/>
  <c r="M318" i="1"/>
  <c r="P318" i="1" s="1"/>
  <c r="M319" i="1"/>
  <c r="P319" i="1" s="1"/>
  <c r="M325" i="1"/>
  <c r="P325" i="1" s="1"/>
  <c r="M300" i="1"/>
  <c r="M302" i="1" s="1"/>
  <c r="M464" i="1"/>
  <c r="P464" i="1" s="1"/>
  <c r="M465" i="1"/>
  <c r="P465" i="1" s="1"/>
  <c r="M466" i="1"/>
  <c r="M467" i="1"/>
  <c r="P467" i="1" s="1"/>
  <c r="M468" i="1"/>
  <c r="P468" i="1" s="1"/>
  <c r="M469" i="1"/>
  <c r="P469" i="1" s="1"/>
  <c r="M461" i="1"/>
  <c r="P461" i="1" s="1"/>
  <c r="M462" i="1"/>
  <c r="P462" i="1" s="1"/>
  <c r="M441" i="1"/>
  <c r="P441" i="1" s="1"/>
  <c r="M442" i="1"/>
  <c r="P442" i="1" s="1"/>
  <c r="M443" i="1"/>
  <c r="M444" i="1"/>
  <c r="P444" i="1" s="1"/>
  <c r="M445" i="1"/>
  <c r="P445" i="1" s="1"/>
  <c r="M447" i="1"/>
  <c r="P447" i="1" s="1"/>
  <c r="M448" i="1"/>
  <c r="P448" i="1" s="1"/>
  <c r="M449" i="1"/>
  <c r="P449" i="1" s="1"/>
  <c r="M450" i="1"/>
  <c r="P450" i="1" s="1"/>
  <c r="M451" i="1"/>
  <c r="P451" i="1" s="1"/>
  <c r="M452" i="1"/>
  <c r="P452" i="1" s="1"/>
  <c r="M453" i="1"/>
  <c r="P453" i="1" s="1"/>
  <c r="M454" i="1"/>
  <c r="P454" i="1" s="1"/>
  <c r="M429" i="1"/>
  <c r="P429" i="1" s="1"/>
  <c r="M430" i="1"/>
  <c r="P430" i="1" s="1"/>
  <c r="M431" i="1"/>
  <c r="P431" i="1" s="1"/>
  <c r="M432" i="1"/>
  <c r="P432" i="1" s="1"/>
  <c r="M433" i="1"/>
  <c r="P433" i="1" s="1"/>
  <c r="M434" i="1"/>
  <c r="P434" i="1" s="1"/>
  <c r="M436" i="1"/>
  <c r="P436" i="1" s="1"/>
  <c r="M437" i="1"/>
  <c r="P437" i="1" s="1"/>
  <c r="M439" i="1"/>
  <c r="P439" i="1" s="1"/>
  <c r="M414" i="1"/>
  <c r="P414" i="1" s="1"/>
  <c r="M415" i="1"/>
  <c r="P415" i="1" s="1"/>
  <c r="M417" i="1"/>
  <c r="P417" i="1" s="1"/>
  <c r="M418" i="1"/>
  <c r="P418" i="1" s="1"/>
  <c r="M419" i="1"/>
  <c r="P419" i="1" s="1"/>
  <c r="M420" i="1"/>
  <c r="P420" i="1" s="1"/>
  <c r="M421" i="1"/>
  <c r="P421" i="1" s="1"/>
  <c r="M422" i="1"/>
  <c r="P422" i="1" s="1"/>
  <c r="M423" i="1"/>
  <c r="P423" i="1" s="1"/>
  <c r="M425" i="1"/>
  <c r="P425" i="1" s="1"/>
  <c r="M426" i="1"/>
  <c r="P426" i="1" s="1"/>
  <c r="M402" i="1"/>
  <c r="P402" i="1" s="1"/>
  <c r="M403" i="1"/>
  <c r="M404" i="1"/>
  <c r="P404" i="1" s="1"/>
  <c r="M391" i="1"/>
  <c r="P391" i="1" s="1"/>
  <c r="M392" i="1"/>
  <c r="P392" i="1" s="1"/>
  <c r="M393" i="1"/>
  <c r="M394" i="1"/>
  <c r="P394" i="1" s="1"/>
  <c r="M396" i="1"/>
  <c r="P396" i="1" s="1"/>
  <c r="M397" i="1"/>
  <c r="P397" i="1" s="1"/>
  <c r="M386" i="1"/>
  <c r="P386" i="1" s="1"/>
  <c r="M387" i="1"/>
  <c r="P387" i="1" s="1"/>
  <c r="M388" i="1"/>
  <c r="P388" i="1" s="1"/>
  <c r="M389" i="1"/>
  <c r="P389" i="1" s="1"/>
  <c r="M381" i="1"/>
  <c r="P381" i="1" s="1"/>
  <c r="M382" i="1"/>
  <c r="O382" i="1" s="1"/>
  <c r="O385" i="1" s="1"/>
  <c r="M383" i="1"/>
  <c r="P383" i="1" s="1"/>
  <c r="M371" i="1"/>
  <c r="P371" i="1" s="1"/>
  <c r="M373" i="1"/>
  <c r="P373" i="1" s="1"/>
  <c r="M375" i="1"/>
  <c r="P375" i="1" s="1"/>
  <c r="M376" i="1"/>
  <c r="P376" i="1" s="1"/>
  <c r="M377" i="1"/>
  <c r="P377" i="1" s="1"/>
  <c r="M378" i="1"/>
  <c r="P378" i="1" s="1"/>
  <c r="M410" i="1"/>
  <c r="P410" i="1" s="1"/>
  <c r="M411" i="1"/>
  <c r="P411" i="1" s="1"/>
  <c r="M412" i="1"/>
  <c r="P412" i="1" s="1"/>
  <c r="M361" i="1"/>
  <c r="P361" i="1" s="1"/>
  <c r="M362" i="1"/>
  <c r="P362" i="1" s="1"/>
  <c r="M363" i="1"/>
  <c r="P363" i="1" s="1"/>
  <c r="M364" i="1"/>
  <c r="P364" i="1" s="1"/>
  <c r="M365" i="1"/>
  <c r="P365" i="1" s="1"/>
  <c r="M366" i="1"/>
  <c r="P366" i="1" s="1"/>
  <c r="M367" i="1"/>
  <c r="P367" i="1" s="1"/>
  <c r="M368" i="1"/>
  <c r="P368" i="1" s="1"/>
  <c r="M369" i="1"/>
  <c r="P369" i="1" s="1"/>
  <c r="M331" i="1"/>
  <c r="P331" i="1" s="1"/>
  <c r="M332" i="1"/>
  <c r="P332" i="1" s="1"/>
  <c r="M333" i="1"/>
  <c r="P333" i="1" s="1"/>
  <c r="M335" i="1"/>
  <c r="P335" i="1" s="1"/>
  <c r="M338" i="1"/>
  <c r="P338" i="1" s="1"/>
  <c r="M339" i="1"/>
  <c r="P339" i="1" s="1"/>
  <c r="M340" i="1"/>
  <c r="P340" i="1" s="1"/>
  <c r="M341" i="1"/>
  <c r="P341" i="1" s="1"/>
  <c r="M342" i="1"/>
  <c r="P342" i="1" s="1"/>
  <c r="M343" i="1"/>
  <c r="P343" i="1" s="1"/>
  <c r="M344" i="1"/>
  <c r="P344" i="1" s="1"/>
  <c r="M345" i="1"/>
  <c r="P345" i="1" s="1"/>
  <c r="M346" i="1"/>
  <c r="P346" i="1" s="1"/>
  <c r="M347" i="1"/>
  <c r="P347" i="1" s="1"/>
  <c r="M348" i="1"/>
  <c r="P348" i="1" s="1"/>
  <c r="M349" i="1"/>
  <c r="P349" i="1" s="1"/>
  <c r="M351" i="1"/>
  <c r="P351" i="1" s="1"/>
  <c r="M352" i="1"/>
  <c r="P352" i="1" s="1"/>
  <c r="M353" i="1"/>
  <c r="P353" i="1" s="1"/>
  <c r="M354" i="1"/>
  <c r="P354" i="1" s="1"/>
  <c r="M355" i="1"/>
  <c r="P355" i="1" s="1"/>
  <c r="M356" i="1"/>
  <c r="P356" i="1" s="1"/>
  <c r="M358" i="1"/>
  <c r="P358" i="1" s="1"/>
  <c r="C153" i="1"/>
  <c r="D153" i="1"/>
  <c r="F153" i="1"/>
  <c r="H153" i="1"/>
  <c r="I153" i="1"/>
  <c r="J153" i="1"/>
  <c r="L153" i="1"/>
  <c r="N153" i="1"/>
  <c r="O153" i="1"/>
  <c r="G154" i="1"/>
  <c r="G25" i="9" s="1"/>
  <c r="K154" i="1"/>
  <c r="P155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2" i="1"/>
  <c r="K173" i="1"/>
  <c r="K174" i="1"/>
  <c r="K175" i="1"/>
  <c r="K176" i="1"/>
  <c r="K177" i="1"/>
  <c r="K178" i="1"/>
  <c r="K179" i="1"/>
  <c r="K180" i="1"/>
  <c r="K181" i="1"/>
  <c r="K183" i="1"/>
  <c r="K184" i="1"/>
  <c r="K185" i="1"/>
  <c r="K186" i="1"/>
  <c r="K187" i="1"/>
  <c r="K188" i="1"/>
  <c r="K189" i="1"/>
  <c r="K193" i="1"/>
  <c r="K195" i="1"/>
  <c r="K196" i="1"/>
  <c r="K197" i="1"/>
  <c r="K198" i="1"/>
  <c r="K201" i="1"/>
  <c r="K204" i="1"/>
  <c r="K207" i="1"/>
  <c r="K210" i="1"/>
  <c r="K213" i="1"/>
  <c r="K216" i="1"/>
  <c r="K219" i="1"/>
  <c r="K222" i="1"/>
  <c r="K226" i="1"/>
  <c r="K228" i="1"/>
  <c r="K230" i="1"/>
  <c r="K231" i="1"/>
  <c r="K235" i="1"/>
  <c r="K236" i="1"/>
  <c r="K237" i="1"/>
  <c r="K238" i="1"/>
  <c r="K239" i="1"/>
  <c r="K240" i="1"/>
  <c r="K241" i="1"/>
  <c r="K245" i="1"/>
  <c r="K246" i="1"/>
  <c r="K247" i="1"/>
  <c r="K249" i="1"/>
  <c r="K250" i="1"/>
  <c r="K251" i="1"/>
  <c r="K252" i="1"/>
  <c r="K253" i="1"/>
  <c r="K254" i="1"/>
  <c r="K255" i="1"/>
  <c r="K256" i="1"/>
  <c r="I264" i="1"/>
  <c r="K264" i="1" s="1"/>
  <c r="K265" i="1"/>
  <c r="K266" i="1"/>
  <c r="K267" i="1"/>
  <c r="K268" i="1"/>
  <c r="K270" i="1"/>
  <c r="K271" i="1"/>
  <c r="K272" i="1"/>
  <c r="K273" i="1"/>
  <c r="K274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8" i="1"/>
  <c r="K319" i="1"/>
  <c r="K321" i="1"/>
  <c r="K322" i="1"/>
  <c r="K325" i="1"/>
  <c r="K300" i="1"/>
  <c r="K302" i="1" s="1"/>
  <c r="P156" i="1"/>
  <c r="G158" i="1"/>
  <c r="G160" i="1"/>
  <c r="G178" i="1"/>
  <c r="P171" i="1"/>
  <c r="P174" i="1"/>
  <c r="H180" i="1"/>
  <c r="H192" i="1" s="1"/>
  <c r="P190" i="1"/>
  <c r="P191" i="1"/>
  <c r="C192" i="1"/>
  <c r="D192" i="1"/>
  <c r="F192" i="1"/>
  <c r="I192" i="1"/>
  <c r="J192" i="1"/>
  <c r="L192" i="1"/>
  <c r="N192" i="1"/>
  <c r="H195" i="1"/>
  <c r="H196" i="1"/>
  <c r="H197" i="1"/>
  <c r="P195" i="1"/>
  <c r="G196" i="1"/>
  <c r="G243" i="1" s="1"/>
  <c r="P199" i="1"/>
  <c r="P200" i="1"/>
  <c r="P202" i="1"/>
  <c r="P203" i="1"/>
  <c r="P205" i="1"/>
  <c r="P206" i="1"/>
  <c r="P208" i="1"/>
  <c r="P209" i="1"/>
  <c r="P211" i="1"/>
  <c r="P212" i="1"/>
  <c r="P214" i="1"/>
  <c r="P215" i="1"/>
  <c r="P217" i="1"/>
  <c r="P218" i="1"/>
  <c r="P220" i="1"/>
  <c r="P221" i="1"/>
  <c r="P223" i="1"/>
  <c r="P224" i="1"/>
  <c r="P225" i="1"/>
  <c r="P232" i="1"/>
  <c r="P233" i="1"/>
  <c r="P234" i="1"/>
  <c r="C243" i="1"/>
  <c r="D243" i="1"/>
  <c r="F243" i="1"/>
  <c r="I243" i="1"/>
  <c r="J243" i="1"/>
  <c r="L243" i="1"/>
  <c r="N243" i="1"/>
  <c r="M245" i="1"/>
  <c r="P245" i="1" s="1"/>
  <c r="M246" i="1"/>
  <c r="P246" i="1" s="1"/>
  <c r="M247" i="1"/>
  <c r="P247" i="1" s="1"/>
  <c r="M249" i="1"/>
  <c r="P249" i="1" s="1"/>
  <c r="M250" i="1"/>
  <c r="P250" i="1" s="1"/>
  <c r="M251" i="1"/>
  <c r="P251" i="1" s="1"/>
  <c r="G252" i="1"/>
  <c r="G263" i="1" s="1"/>
  <c r="M252" i="1"/>
  <c r="P252" i="1" s="1"/>
  <c r="M253" i="1"/>
  <c r="P253" i="1" s="1"/>
  <c r="M254" i="1"/>
  <c r="P254" i="1" s="1"/>
  <c r="M255" i="1"/>
  <c r="P255" i="1" s="1"/>
  <c r="M256" i="1"/>
  <c r="P256" i="1" s="1"/>
  <c r="P257" i="1"/>
  <c r="H263" i="1"/>
  <c r="N263" i="1"/>
  <c r="C263" i="1"/>
  <c r="D263" i="1"/>
  <c r="F263" i="1"/>
  <c r="I263" i="1"/>
  <c r="J263" i="1"/>
  <c r="G264" i="1"/>
  <c r="J264" i="1" s="1"/>
  <c r="J299" i="1" s="1"/>
  <c r="M264" i="1"/>
  <c r="Q264" i="1"/>
  <c r="P268" i="1"/>
  <c r="P270" i="1"/>
  <c r="H299" i="1"/>
  <c r="G273" i="1"/>
  <c r="G274" i="1"/>
  <c r="P279" i="1"/>
  <c r="P293" i="1"/>
  <c r="P294" i="1"/>
  <c r="P295" i="1"/>
  <c r="P296" i="1"/>
  <c r="P297" i="1"/>
  <c r="P298" i="1"/>
  <c r="C299" i="1"/>
  <c r="D299" i="1"/>
  <c r="D326" i="1"/>
  <c r="D302" i="1"/>
  <c r="F299" i="1"/>
  <c r="F326" i="1"/>
  <c r="F302" i="1"/>
  <c r="F25" i="9"/>
  <c r="L299" i="1"/>
  <c r="N299" i="1"/>
  <c r="C302" i="1"/>
  <c r="G302" i="1"/>
  <c r="H302" i="1"/>
  <c r="I302" i="1"/>
  <c r="J302" i="1"/>
  <c r="L302" i="1"/>
  <c r="L326" i="1"/>
  <c r="N302" i="1"/>
  <c r="O302" i="1"/>
  <c r="R302" i="1"/>
  <c r="P305" i="1"/>
  <c r="P306" i="1"/>
  <c r="P310" i="1"/>
  <c r="P312" i="1"/>
  <c r="H315" i="1"/>
  <c r="H318" i="1"/>
  <c r="P315" i="1"/>
  <c r="G318" i="1"/>
  <c r="G326" i="1" s="1"/>
  <c r="P320" i="1"/>
  <c r="P321" i="1"/>
  <c r="P322" i="1"/>
  <c r="P324" i="1"/>
  <c r="Q325" i="1"/>
  <c r="C326" i="1"/>
  <c r="I326" i="1"/>
  <c r="J326" i="1"/>
  <c r="N326" i="1"/>
  <c r="H331" i="1"/>
  <c r="H333" i="1"/>
  <c r="H350" i="1"/>
  <c r="K331" i="1"/>
  <c r="K332" i="1"/>
  <c r="G333" i="1"/>
  <c r="G334" i="1"/>
  <c r="G354" i="1"/>
  <c r="G355" i="1"/>
  <c r="G358" i="1"/>
  <c r="K333" i="1"/>
  <c r="O334" i="1"/>
  <c r="O360" i="1" s="1"/>
  <c r="P334" i="1"/>
  <c r="K338" i="1"/>
  <c r="K339" i="1"/>
  <c r="N339" i="1"/>
  <c r="N360" i="1" s="1"/>
  <c r="K340" i="1"/>
  <c r="K341" i="1"/>
  <c r="K342" i="1"/>
  <c r="K343" i="1"/>
  <c r="K344" i="1"/>
  <c r="K345" i="1"/>
  <c r="K346" i="1"/>
  <c r="K347" i="1"/>
  <c r="K348" i="1"/>
  <c r="K349" i="1"/>
  <c r="K350" i="1"/>
  <c r="P350" i="1"/>
  <c r="K351" i="1"/>
  <c r="K352" i="1"/>
  <c r="K353" i="1"/>
  <c r="K354" i="1"/>
  <c r="K355" i="1"/>
  <c r="K356" i="1"/>
  <c r="C360" i="1"/>
  <c r="D360" i="1"/>
  <c r="F360" i="1"/>
  <c r="I360" i="1"/>
  <c r="J360" i="1"/>
  <c r="L360" i="1"/>
  <c r="K361" i="1"/>
  <c r="K362" i="1"/>
  <c r="K363" i="1"/>
  <c r="K364" i="1"/>
  <c r="K365" i="1"/>
  <c r="K366" i="1"/>
  <c r="K367" i="1"/>
  <c r="K368" i="1"/>
  <c r="K369" i="1"/>
  <c r="G369" i="1"/>
  <c r="C370" i="1"/>
  <c r="D370" i="1"/>
  <c r="F370" i="1"/>
  <c r="H370" i="1"/>
  <c r="I370" i="1"/>
  <c r="J370" i="1"/>
  <c r="L370" i="1"/>
  <c r="N370" i="1"/>
  <c r="O370" i="1"/>
  <c r="K371" i="1"/>
  <c r="K372" i="1"/>
  <c r="P372" i="1"/>
  <c r="K373" i="1"/>
  <c r="K374" i="1"/>
  <c r="K375" i="1"/>
  <c r="K376" i="1"/>
  <c r="K377" i="1"/>
  <c r="K378" i="1"/>
  <c r="P374" i="1"/>
  <c r="C379" i="1"/>
  <c r="D379" i="1"/>
  <c r="F379" i="1"/>
  <c r="G379" i="1"/>
  <c r="H379" i="1"/>
  <c r="I379" i="1"/>
  <c r="J379" i="1"/>
  <c r="L379" i="1"/>
  <c r="N379" i="1"/>
  <c r="O379" i="1"/>
  <c r="K381" i="1"/>
  <c r="P384" i="1"/>
  <c r="K382" i="1"/>
  <c r="K383" i="1"/>
  <c r="C385" i="1"/>
  <c r="D385" i="1"/>
  <c r="F385" i="1"/>
  <c r="G385" i="1"/>
  <c r="H385" i="1"/>
  <c r="I385" i="1"/>
  <c r="J385" i="1"/>
  <c r="L385" i="1"/>
  <c r="N385" i="1"/>
  <c r="K386" i="1"/>
  <c r="K387" i="1"/>
  <c r="K388" i="1"/>
  <c r="K389" i="1"/>
  <c r="C390" i="1"/>
  <c r="D390" i="1"/>
  <c r="F390" i="1"/>
  <c r="G390" i="1"/>
  <c r="H390" i="1"/>
  <c r="I390" i="1"/>
  <c r="J390" i="1"/>
  <c r="J398" i="1"/>
  <c r="J455" i="1"/>
  <c r="J440" i="1"/>
  <c r="J427" i="1"/>
  <c r="J408" i="1"/>
  <c r="J413" i="1"/>
  <c r="L390" i="1"/>
  <c r="N390" i="1"/>
  <c r="O390" i="1"/>
  <c r="K391" i="1"/>
  <c r="K392" i="1"/>
  <c r="K393" i="1"/>
  <c r="K394" i="1"/>
  <c r="K397" i="1"/>
  <c r="G397" i="1"/>
  <c r="G398" i="1" s="1"/>
  <c r="C398" i="1"/>
  <c r="D398" i="1"/>
  <c r="F398" i="1"/>
  <c r="F455" i="1"/>
  <c r="F440" i="1"/>
  <c r="F414" i="1"/>
  <c r="F427" i="1" s="1"/>
  <c r="F408" i="1"/>
  <c r="F409" i="1"/>
  <c r="F27" i="9" s="1"/>
  <c r="F410" i="1"/>
  <c r="H398" i="1"/>
  <c r="I398" i="1"/>
  <c r="L398" i="1"/>
  <c r="L399" i="1" s="1"/>
  <c r="N398" i="1"/>
  <c r="N399" i="1" s="1"/>
  <c r="O398" i="1"/>
  <c r="O399" i="1" s="1"/>
  <c r="G408" i="1"/>
  <c r="P405" i="1"/>
  <c r="H403" i="1"/>
  <c r="H408" i="1" s="1"/>
  <c r="K403" i="1"/>
  <c r="K404" i="1"/>
  <c r="K405" i="1"/>
  <c r="C408" i="1"/>
  <c r="D408" i="1"/>
  <c r="I408" i="1"/>
  <c r="L408" i="1"/>
  <c r="N408" i="1"/>
  <c r="K409" i="1"/>
  <c r="P409" i="1"/>
  <c r="K410" i="1"/>
  <c r="K411" i="1"/>
  <c r="K412" i="1"/>
  <c r="C413" i="1"/>
  <c r="D413" i="1"/>
  <c r="G413" i="1"/>
  <c r="H413" i="1"/>
  <c r="I413" i="1"/>
  <c r="L413" i="1"/>
  <c r="N413" i="1"/>
  <c r="O413" i="1"/>
  <c r="Q413" i="1"/>
  <c r="R413" i="1"/>
  <c r="H414" i="1"/>
  <c r="H427" i="1" s="1"/>
  <c r="K414" i="1"/>
  <c r="K415" i="1"/>
  <c r="K416" i="1"/>
  <c r="P416" i="1"/>
  <c r="K417" i="1"/>
  <c r="K418" i="1"/>
  <c r="K419" i="1"/>
  <c r="K420" i="1"/>
  <c r="K421" i="1"/>
  <c r="K422" i="1"/>
  <c r="K423" i="1"/>
  <c r="K425" i="1"/>
  <c r="K426" i="1"/>
  <c r="P424" i="1"/>
  <c r="G425" i="1"/>
  <c r="G427" i="1" s="1"/>
  <c r="C427" i="1"/>
  <c r="D427" i="1"/>
  <c r="I427" i="1"/>
  <c r="L427" i="1"/>
  <c r="N427" i="1"/>
  <c r="O427" i="1"/>
  <c r="G440" i="1"/>
  <c r="K429" i="1"/>
  <c r="K430" i="1"/>
  <c r="H431" i="1"/>
  <c r="H440" i="1" s="1"/>
  <c r="K431" i="1"/>
  <c r="K432" i="1"/>
  <c r="K433" i="1"/>
  <c r="K434" i="1"/>
  <c r="K436" i="1"/>
  <c r="K437" i="1"/>
  <c r="K438" i="1"/>
  <c r="K439" i="1"/>
  <c r="K456" i="1"/>
  <c r="K441" i="1"/>
  <c r="K442" i="1"/>
  <c r="K443" i="1"/>
  <c r="K444" i="1"/>
  <c r="K445" i="1"/>
  <c r="K447" i="1"/>
  <c r="K448" i="1"/>
  <c r="K449" i="1"/>
  <c r="K450" i="1"/>
  <c r="K451" i="1"/>
  <c r="K452" i="1"/>
  <c r="K453" i="1"/>
  <c r="K454" i="1"/>
  <c r="C440" i="1"/>
  <c r="D440" i="1"/>
  <c r="I440" i="1"/>
  <c r="L440" i="1"/>
  <c r="N440" i="1"/>
  <c r="R440" i="1"/>
  <c r="P446" i="1"/>
  <c r="G445" i="1"/>
  <c r="G450" i="1"/>
  <c r="G453" i="1"/>
  <c r="O450" i="1"/>
  <c r="Q450" i="1" s="1"/>
  <c r="T450" i="1" s="1"/>
  <c r="C455" i="1"/>
  <c r="D455" i="1"/>
  <c r="H455" i="1"/>
  <c r="I455" i="1"/>
  <c r="L455" i="1"/>
  <c r="N455" i="1"/>
  <c r="P456" i="1"/>
  <c r="K461" i="1"/>
  <c r="K462" i="1"/>
  <c r="I463" i="1"/>
  <c r="C463" i="1"/>
  <c r="D463" i="1"/>
  <c r="F463" i="1"/>
  <c r="G463" i="1"/>
  <c r="H463" i="1"/>
  <c r="J463" i="1"/>
  <c r="L463" i="1"/>
  <c r="N463" i="1"/>
  <c r="O463" i="1"/>
  <c r="R463" i="1"/>
  <c r="K464" i="1"/>
  <c r="K465" i="1"/>
  <c r="K466" i="1"/>
  <c r="K467" i="1"/>
  <c r="K468" i="1"/>
  <c r="K469" i="1"/>
  <c r="G470" i="1"/>
  <c r="F469" i="1"/>
  <c r="F470" i="1" s="1"/>
  <c r="C470" i="1"/>
  <c r="D470" i="1"/>
  <c r="H470" i="1"/>
  <c r="I470" i="1"/>
  <c r="J470" i="1"/>
  <c r="L470" i="1"/>
  <c r="N470" i="1"/>
  <c r="M473" i="1"/>
  <c r="K474" i="1"/>
  <c r="H474" i="1"/>
  <c r="C474" i="1"/>
  <c r="D474" i="1"/>
  <c r="F474" i="1"/>
  <c r="G474" i="1"/>
  <c r="I474" i="1"/>
  <c r="J474" i="1"/>
  <c r="L474" i="1"/>
  <c r="N474" i="1"/>
  <c r="O474" i="1"/>
  <c r="K483" i="1"/>
  <c r="K32" i="9" s="1"/>
  <c r="M476" i="1"/>
  <c r="P477" i="1"/>
  <c r="Q477" i="1"/>
  <c r="K33" i="9"/>
  <c r="J481" i="1"/>
  <c r="J33" i="9" s="1"/>
  <c r="O481" i="1"/>
  <c r="M33" i="9" s="1"/>
  <c r="P482" i="1"/>
  <c r="P483" i="1" s="1"/>
  <c r="G483" i="1"/>
  <c r="H18" i="12" s="1"/>
  <c r="F483" i="1"/>
  <c r="F32" i="9" s="1"/>
  <c r="H483" i="1"/>
  <c r="H32" i="9" s="1"/>
  <c r="I483" i="1"/>
  <c r="J483" i="1"/>
  <c r="J32" i="9" s="1"/>
  <c r="L483" i="1"/>
  <c r="M483" i="1"/>
  <c r="N483" i="1"/>
  <c r="M18" i="12" s="1"/>
  <c r="O483" i="1"/>
  <c r="M32" i="9" s="1"/>
  <c r="K484" i="1"/>
  <c r="D18" i="12"/>
  <c r="E18" i="12"/>
  <c r="B6" i="11"/>
  <c r="I6" i="11"/>
  <c r="I7" i="11"/>
  <c r="N7" i="11"/>
  <c r="N9" i="11" s="1"/>
  <c r="J6" i="9" s="1"/>
  <c r="P7" i="11"/>
  <c r="T7" i="11" s="1"/>
  <c r="T9" i="11" s="1"/>
  <c r="R7" i="11"/>
  <c r="R9" i="11" s="1"/>
  <c r="U7" i="11"/>
  <c r="X7" i="11" s="1"/>
  <c r="I8" i="11"/>
  <c r="T8" i="11"/>
  <c r="U8" i="11"/>
  <c r="E9" i="11"/>
  <c r="C6" i="9" s="1"/>
  <c r="F9" i="11"/>
  <c r="G9" i="11"/>
  <c r="H9" i="11"/>
  <c r="F6" i="9" s="1"/>
  <c r="I9" i="11"/>
  <c r="K9" i="11"/>
  <c r="J5" i="10" s="1"/>
  <c r="K13" i="11"/>
  <c r="G8" i="9"/>
  <c r="K30" i="11"/>
  <c r="K43" i="11"/>
  <c r="K39" i="11"/>
  <c r="K35" i="11"/>
  <c r="K226" i="11"/>
  <c r="K227" i="11" s="1"/>
  <c r="K149" i="11"/>
  <c r="K127" i="11"/>
  <c r="K96" i="11"/>
  <c r="K89" i="11"/>
  <c r="K58" i="11"/>
  <c r="K202" i="11"/>
  <c r="K187" i="11"/>
  <c r="K175" i="11"/>
  <c r="K166" i="11"/>
  <c r="K176" i="11"/>
  <c r="K179" i="11" s="1"/>
  <c r="G14" i="9"/>
  <c r="G15" i="9"/>
  <c r="G17" i="9"/>
  <c r="G18" i="9"/>
  <c r="L9" i="11"/>
  <c r="M9" i="11"/>
  <c r="I6" i="9" s="1"/>
  <c r="O9" i="11"/>
  <c r="K6" i="9" s="1"/>
  <c r="Q9" i="11"/>
  <c r="S9" i="11"/>
  <c r="M6" i="9" s="1"/>
  <c r="I10" i="11"/>
  <c r="I11" i="11"/>
  <c r="L11" i="11"/>
  <c r="L12" i="11"/>
  <c r="M11" i="11"/>
  <c r="M13" i="11" s="1"/>
  <c r="N11" i="11"/>
  <c r="N12" i="11"/>
  <c r="Q11" i="11"/>
  <c r="Q13" i="11" s="1"/>
  <c r="T12" i="11"/>
  <c r="U11" i="11"/>
  <c r="U13" i="11" s="1"/>
  <c r="O7" i="9" s="1"/>
  <c r="I12" i="11"/>
  <c r="S12" i="11"/>
  <c r="E13" i="11"/>
  <c r="E21" i="11"/>
  <c r="D5" i="10" s="1"/>
  <c r="F13" i="11"/>
  <c r="D7" i="9" s="1"/>
  <c r="G13" i="11"/>
  <c r="E7" i="9" s="1"/>
  <c r="H13" i="11"/>
  <c r="F7" i="9" s="1"/>
  <c r="H17" i="11"/>
  <c r="F14" i="9" s="1"/>
  <c r="H19" i="11"/>
  <c r="F17" i="9" s="1"/>
  <c r="H20" i="11"/>
  <c r="I13" i="11"/>
  <c r="M21" i="11"/>
  <c r="O13" i="11"/>
  <c r="K476" i="1" s="1"/>
  <c r="K31" i="9" s="1"/>
  <c r="P13" i="11"/>
  <c r="R13" i="11"/>
  <c r="L7" i="9" s="1"/>
  <c r="R21" i="11"/>
  <c r="I14" i="11"/>
  <c r="B15" i="11"/>
  <c r="B231" i="11" s="1"/>
  <c r="I15" i="11"/>
  <c r="L15" i="11"/>
  <c r="H11" i="9" s="1"/>
  <c r="Q15" i="11"/>
  <c r="I16" i="11"/>
  <c r="G17" i="11"/>
  <c r="E14" i="9" s="1"/>
  <c r="I17" i="11"/>
  <c r="O17" i="11"/>
  <c r="Q17" i="11"/>
  <c r="Q21" i="11" s="1"/>
  <c r="I19" i="11"/>
  <c r="O19" i="11"/>
  <c r="O21" i="11" s="1"/>
  <c r="G20" i="11"/>
  <c r="E15" i="9" s="1"/>
  <c r="I20" i="11"/>
  <c r="L20" i="11"/>
  <c r="F21" i="11"/>
  <c r="I21" i="11"/>
  <c r="K21" i="11"/>
  <c r="N21" i="11"/>
  <c r="P21" i="11"/>
  <c r="S21" i="11"/>
  <c r="T21" i="11"/>
  <c r="U21" i="11"/>
  <c r="I22" i="11"/>
  <c r="I23" i="11"/>
  <c r="I24" i="11"/>
  <c r="H25" i="11"/>
  <c r="H30" i="11" s="1"/>
  <c r="H42" i="11"/>
  <c r="H43" i="11" s="1"/>
  <c r="H227" i="11"/>
  <c r="I25" i="11"/>
  <c r="O25" i="11"/>
  <c r="S25" i="11"/>
  <c r="T25" i="11"/>
  <c r="T30" i="11" s="1"/>
  <c r="I29" i="11"/>
  <c r="M29" i="11"/>
  <c r="N29" i="11"/>
  <c r="N30" i="11" s="1"/>
  <c r="N43" i="11"/>
  <c r="N227" i="11"/>
  <c r="E30" i="11"/>
  <c r="E48" i="11" s="1"/>
  <c r="D8" i="10" s="1"/>
  <c r="F30" i="11"/>
  <c r="F48" i="11" s="1"/>
  <c r="E8" i="10" s="1"/>
  <c r="F227" i="11"/>
  <c r="G30" i="11"/>
  <c r="I30" i="11"/>
  <c r="L30" i="11"/>
  <c r="R30" i="11"/>
  <c r="R32" i="11"/>
  <c r="R35" i="11" s="1"/>
  <c r="S32" i="11"/>
  <c r="M15" i="9" s="1"/>
  <c r="T32" i="11"/>
  <c r="U32" i="11"/>
  <c r="U35" i="11" s="1"/>
  <c r="T33" i="11"/>
  <c r="M35" i="11"/>
  <c r="O35" i="11"/>
  <c r="E35" i="11"/>
  <c r="F35" i="11"/>
  <c r="G35" i="11"/>
  <c r="H35" i="11"/>
  <c r="L35" i="11"/>
  <c r="N35" i="11"/>
  <c r="P35" i="11"/>
  <c r="Q35" i="11"/>
  <c r="H37" i="11"/>
  <c r="I37" i="11"/>
  <c r="O37" i="11"/>
  <c r="O39" i="11" s="1"/>
  <c r="T37" i="11"/>
  <c r="U37" i="11"/>
  <c r="I38" i="11"/>
  <c r="Q38" i="11"/>
  <c r="T38" i="11" s="1"/>
  <c r="U38" i="11"/>
  <c r="E39" i="11"/>
  <c r="F39" i="11"/>
  <c r="G39" i="11"/>
  <c r="I39" i="11"/>
  <c r="L39" i="11"/>
  <c r="M39" i="11"/>
  <c r="N39" i="11"/>
  <c r="P39" i="11"/>
  <c r="R39" i="11"/>
  <c r="R43" i="11"/>
  <c r="R209" i="11"/>
  <c r="R202" i="11"/>
  <c r="R187" i="11"/>
  <c r="R175" i="11"/>
  <c r="R166" i="11"/>
  <c r="R176" i="11"/>
  <c r="R177" i="11"/>
  <c r="R178" i="11"/>
  <c r="R160" i="11"/>
  <c r="R157" i="11"/>
  <c r="R149" i="11"/>
  <c r="R127" i="11"/>
  <c r="R96" i="11"/>
  <c r="R89" i="11"/>
  <c r="R58" i="11"/>
  <c r="R227" i="11"/>
  <c r="R218" i="11"/>
  <c r="R213" i="11"/>
  <c r="R223" i="11"/>
  <c r="S39" i="11"/>
  <c r="G41" i="11"/>
  <c r="G43" i="11" s="1"/>
  <c r="I41" i="11"/>
  <c r="O41" i="11"/>
  <c r="O42" i="11"/>
  <c r="Q41" i="11"/>
  <c r="Q42" i="11"/>
  <c r="U41" i="11"/>
  <c r="U43" i="11" s="1"/>
  <c r="I42" i="11"/>
  <c r="T42" i="11"/>
  <c r="E43" i="11"/>
  <c r="F43" i="11"/>
  <c r="J43" i="11"/>
  <c r="L43" i="11"/>
  <c r="L48" i="11" s="1"/>
  <c r="K8" i="10" s="1"/>
  <c r="M43" i="11"/>
  <c r="P43" i="11"/>
  <c r="S43" i="11"/>
  <c r="I44" i="11"/>
  <c r="I45" i="11"/>
  <c r="O45" i="11"/>
  <c r="T45" i="11"/>
  <c r="U45" i="11"/>
  <c r="I47" i="11"/>
  <c r="I48" i="11"/>
  <c r="I49" i="11"/>
  <c r="S58" i="11"/>
  <c r="T50" i="11"/>
  <c r="T52" i="11"/>
  <c r="T53" i="11"/>
  <c r="T54" i="11"/>
  <c r="T55" i="11"/>
  <c r="E58" i="11"/>
  <c r="F58" i="11"/>
  <c r="G58" i="11"/>
  <c r="H58" i="11"/>
  <c r="H149" i="11"/>
  <c r="H127" i="11"/>
  <c r="H96" i="11"/>
  <c r="H151" i="11" s="1"/>
  <c r="F12" i="9" s="1"/>
  <c r="H89" i="11"/>
  <c r="F8" i="9"/>
  <c r="H202" i="11"/>
  <c r="H187" i="11"/>
  <c r="H175" i="11"/>
  <c r="H166" i="11"/>
  <c r="H176" i="11"/>
  <c r="H177" i="11"/>
  <c r="F18" i="9"/>
  <c r="I58" i="11"/>
  <c r="L58" i="11"/>
  <c r="M58" i="11"/>
  <c r="N58" i="11"/>
  <c r="P58" i="11"/>
  <c r="I59" i="11"/>
  <c r="T60" i="11"/>
  <c r="T61" i="11"/>
  <c r="T62" i="11"/>
  <c r="T63" i="11"/>
  <c r="T64" i="11"/>
  <c r="T65" i="11"/>
  <c r="T66" i="11"/>
  <c r="I67" i="11"/>
  <c r="T67" i="11"/>
  <c r="T68" i="11"/>
  <c r="T69" i="11"/>
  <c r="T70" i="11"/>
  <c r="T71" i="11"/>
  <c r="T72" i="11"/>
  <c r="T73" i="11"/>
  <c r="T74" i="11"/>
  <c r="T75" i="11"/>
  <c r="T76" i="11"/>
  <c r="O80" i="11"/>
  <c r="O82" i="11"/>
  <c r="O86" i="11"/>
  <c r="T77" i="11"/>
  <c r="T78" i="11"/>
  <c r="T79" i="11"/>
  <c r="I80" i="11"/>
  <c r="Q80" i="11"/>
  <c r="T80" i="11" s="1"/>
  <c r="I82" i="11"/>
  <c r="Q82" i="11"/>
  <c r="T82" i="11" s="1"/>
  <c r="T84" i="11"/>
  <c r="T85" i="11"/>
  <c r="I86" i="11"/>
  <c r="Q86" i="11"/>
  <c r="T86" i="11" s="1"/>
  <c r="I88" i="11"/>
  <c r="E89" i="11"/>
  <c r="F89" i="11"/>
  <c r="G89" i="11"/>
  <c r="G151" i="11" s="1"/>
  <c r="E12" i="9" s="1"/>
  <c r="I89" i="11"/>
  <c r="L89" i="11"/>
  <c r="M89" i="11"/>
  <c r="N89" i="11"/>
  <c r="P89" i="11"/>
  <c r="O96" i="11"/>
  <c r="T91" i="11"/>
  <c r="T92" i="11"/>
  <c r="T96" i="11" s="1"/>
  <c r="T93" i="11"/>
  <c r="T95" i="11"/>
  <c r="E96" i="11"/>
  <c r="F96" i="11"/>
  <c r="G96" i="11"/>
  <c r="I96" i="11"/>
  <c r="L96" i="11"/>
  <c r="L149" i="11"/>
  <c r="L127" i="11"/>
  <c r="M96" i="11"/>
  <c r="N96" i="11"/>
  <c r="N146" i="11"/>
  <c r="N149" i="11" s="1"/>
  <c r="N127" i="11"/>
  <c r="P96" i="11"/>
  <c r="S96" i="11"/>
  <c r="I97" i="11"/>
  <c r="T98" i="11"/>
  <c r="T99" i="11"/>
  <c r="T100" i="11"/>
  <c r="T101" i="11"/>
  <c r="T102" i="11"/>
  <c r="Q103" i="11"/>
  <c r="T103" i="11" s="1"/>
  <c r="T104" i="11"/>
  <c r="T105" i="11"/>
  <c r="T106" i="11"/>
  <c r="I107" i="11"/>
  <c r="O107" i="11"/>
  <c r="O127" i="11" s="1"/>
  <c r="Q107" i="11"/>
  <c r="T107" i="11" s="1"/>
  <c r="I108" i="11"/>
  <c r="Q108" i="11"/>
  <c r="T108" i="11" s="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E127" i="11"/>
  <c r="E149" i="11"/>
  <c r="F127" i="11"/>
  <c r="G127" i="11"/>
  <c r="I127" i="11"/>
  <c r="M127" i="11"/>
  <c r="P127" i="11"/>
  <c r="S127" i="11"/>
  <c r="Q131" i="11"/>
  <c r="T131" i="11" s="1"/>
  <c r="I128" i="11"/>
  <c r="T129" i="11"/>
  <c r="T130" i="11"/>
  <c r="I131" i="11"/>
  <c r="O131" i="11"/>
  <c r="T132" i="11"/>
  <c r="T133" i="11"/>
  <c r="T134" i="11"/>
  <c r="T135" i="11"/>
  <c r="T136" i="11"/>
  <c r="T137" i="11"/>
  <c r="T138" i="11"/>
  <c r="I140" i="11"/>
  <c r="Q140" i="11"/>
  <c r="G149" i="11"/>
  <c r="I141" i="11"/>
  <c r="O141" i="11"/>
  <c r="Q141" i="11"/>
  <c r="T141" i="11" s="1"/>
  <c r="T142" i="11"/>
  <c r="I143" i="11"/>
  <c r="O143" i="11"/>
  <c r="Q143" i="11"/>
  <c r="T143" i="11" s="1"/>
  <c r="M146" i="11"/>
  <c r="O146" i="11" s="1"/>
  <c r="I146" i="11"/>
  <c r="T146" i="11"/>
  <c r="F149" i="11"/>
  <c r="I149" i="11"/>
  <c r="P149" i="11"/>
  <c r="P151" i="11" s="1"/>
  <c r="I150" i="11"/>
  <c r="I151" i="11"/>
  <c r="I152" i="11"/>
  <c r="Q153" i="11"/>
  <c r="T153" i="11" s="1"/>
  <c r="N15" i="9" s="1"/>
  <c r="Q155" i="11"/>
  <c r="T155" i="11" s="1"/>
  <c r="I153" i="11"/>
  <c r="O153" i="11"/>
  <c r="O157" i="11" s="1"/>
  <c r="I155" i="11"/>
  <c r="O155" i="11"/>
  <c r="E157" i="11"/>
  <c r="F157" i="11"/>
  <c r="G157" i="11"/>
  <c r="H157" i="11"/>
  <c r="I157" i="11"/>
  <c r="K157" i="11"/>
  <c r="L157" i="11"/>
  <c r="M157" i="11"/>
  <c r="N157" i="11"/>
  <c r="P157" i="11"/>
  <c r="S157" i="11"/>
  <c r="I158" i="11"/>
  <c r="N158" i="11"/>
  <c r="I159" i="11"/>
  <c r="O159" i="11"/>
  <c r="O160" i="11" s="1"/>
  <c r="T159" i="11"/>
  <c r="T160" i="11" s="1"/>
  <c r="K160" i="11"/>
  <c r="L160" i="11"/>
  <c r="M160" i="11"/>
  <c r="N160" i="11"/>
  <c r="P160" i="11"/>
  <c r="Q160" i="11"/>
  <c r="S160" i="11"/>
  <c r="I161" i="11"/>
  <c r="I162" i="11"/>
  <c r="O162" i="11"/>
  <c r="O163" i="11"/>
  <c r="O164" i="11"/>
  <c r="O165" i="11"/>
  <c r="Q162" i="11"/>
  <c r="I163" i="11"/>
  <c r="Q163" i="11"/>
  <c r="T163" i="11" s="1"/>
  <c r="G164" i="11"/>
  <c r="G166" i="11" s="1"/>
  <c r="I164" i="11"/>
  <c r="Q164" i="11"/>
  <c r="T164" i="11" s="1"/>
  <c r="I165" i="11"/>
  <c r="Q165" i="11"/>
  <c r="T165" i="11"/>
  <c r="E166" i="11"/>
  <c r="F166" i="11"/>
  <c r="I166" i="11"/>
  <c r="L166" i="11"/>
  <c r="M166" i="11"/>
  <c r="N166" i="11"/>
  <c r="P166" i="11"/>
  <c r="S166" i="11"/>
  <c r="I167" i="11"/>
  <c r="I168" i="11"/>
  <c r="O168" i="11"/>
  <c r="Q168" i="11"/>
  <c r="T168" i="11" s="1"/>
  <c r="I169" i="11"/>
  <c r="O169" i="11"/>
  <c r="Q169" i="11"/>
  <c r="I170" i="11"/>
  <c r="O170" i="11"/>
  <c r="O175" i="11" s="1"/>
  <c r="Q170" i="11"/>
  <c r="T170" i="11" s="1"/>
  <c r="I171" i="11"/>
  <c r="O171" i="11"/>
  <c r="Q171" i="11"/>
  <c r="T171" i="11" s="1"/>
  <c r="O172" i="11"/>
  <c r="O173" i="11"/>
  <c r="I172" i="11"/>
  <c r="Q172" i="11"/>
  <c r="T172" i="11" s="1"/>
  <c r="G173" i="11"/>
  <c r="G175" i="11" s="1"/>
  <c r="I173" i="11"/>
  <c r="Q173" i="11"/>
  <c r="T173" i="11" s="1"/>
  <c r="E175" i="11"/>
  <c r="F175" i="11"/>
  <c r="I175" i="11"/>
  <c r="L175" i="11"/>
  <c r="M175" i="11"/>
  <c r="N175" i="11"/>
  <c r="P175" i="11"/>
  <c r="O176" i="11"/>
  <c r="O177" i="11"/>
  <c r="O178" i="11"/>
  <c r="Q176" i="11"/>
  <c r="S176" i="11"/>
  <c r="S179" i="11" s="1"/>
  <c r="Q177" i="11"/>
  <c r="T177" i="11" s="1"/>
  <c r="S177" i="11"/>
  <c r="U177" i="11" s="1"/>
  <c r="Q178" i="11"/>
  <c r="T178" i="11" s="1"/>
  <c r="S178" i="11"/>
  <c r="U178" i="11" s="1"/>
  <c r="X178" i="11" s="1"/>
  <c r="E179" i="11"/>
  <c r="F179" i="11"/>
  <c r="G179" i="11"/>
  <c r="I179" i="11"/>
  <c r="L179" i="11"/>
  <c r="M179" i="11"/>
  <c r="N179" i="11"/>
  <c r="P179" i="11"/>
  <c r="I180" i="11"/>
  <c r="O180" i="11"/>
  <c r="Q180" i="11"/>
  <c r="I181" i="11"/>
  <c r="L181" i="11"/>
  <c r="L187" i="11" s="1"/>
  <c r="O181" i="11"/>
  <c r="O182" i="11"/>
  <c r="O185" i="11"/>
  <c r="Q181" i="11"/>
  <c r="Q182" i="11"/>
  <c r="T182" i="11" s="1"/>
  <c r="T184" i="11"/>
  <c r="T185" i="11"/>
  <c r="G182" i="11"/>
  <c r="G187" i="11" s="1"/>
  <c r="I182" i="11"/>
  <c r="I184" i="11"/>
  <c r="I185" i="11"/>
  <c r="E187" i="11"/>
  <c r="E204" i="11" s="1"/>
  <c r="F187" i="11"/>
  <c r="I187" i="11"/>
  <c r="M187" i="11"/>
  <c r="N187" i="11"/>
  <c r="N204" i="11" s="1"/>
  <c r="J13" i="9" s="1"/>
  <c r="P187" i="11"/>
  <c r="S187" i="11"/>
  <c r="I188" i="11"/>
  <c r="I189" i="11"/>
  <c r="O189" i="11"/>
  <c r="Q189" i="11"/>
  <c r="T189" i="11" s="1"/>
  <c r="I191" i="11"/>
  <c r="O191" i="11"/>
  <c r="Q192" i="11"/>
  <c r="T192" i="11" s="1"/>
  <c r="Q193" i="11"/>
  <c r="T193" i="11" s="1"/>
  <c r="Q195" i="11"/>
  <c r="T195" i="11" s="1"/>
  <c r="Q196" i="11"/>
  <c r="T196" i="11" s="1"/>
  <c r="Q197" i="11"/>
  <c r="T197" i="11" s="1"/>
  <c r="Q198" i="11"/>
  <c r="T198" i="11" s="1"/>
  <c r="Q199" i="11"/>
  <c r="T199" i="11" s="1"/>
  <c r="Q200" i="11"/>
  <c r="T200" i="11" s="1"/>
  <c r="I192" i="11"/>
  <c r="O192" i="11"/>
  <c r="I193" i="11"/>
  <c r="O193" i="11"/>
  <c r="I195" i="11"/>
  <c r="O195" i="11"/>
  <c r="I196" i="11"/>
  <c r="O196" i="11"/>
  <c r="I197" i="11"/>
  <c r="O197" i="11"/>
  <c r="I198" i="11"/>
  <c r="O198" i="11"/>
  <c r="I199" i="11"/>
  <c r="O199" i="11"/>
  <c r="I200" i="11"/>
  <c r="O200" i="11"/>
  <c r="E202" i="11"/>
  <c r="F202" i="11"/>
  <c r="G202" i="11"/>
  <c r="H209" i="11"/>
  <c r="I202" i="11"/>
  <c r="L202" i="11"/>
  <c r="M202" i="11"/>
  <c r="M209" i="11"/>
  <c r="N202" i="11"/>
  <c r="P202" i="11"/>
  <c r="P209" i="11"/>
  <c r="P227" i="11"/>
  <c r="P218" i="11"/>
  <c r="P213" i="11"/>
  <c r="P223" i="11"/>
  <c r="I203" i="11"/>
  <c r="I204" i="11"/>
  <c r="I205" i="11"/>
  <c r="I206" i="11"/>
  <c r="O206" i="11"/>
  <c r="O209" i="11" s="1"/>
  <c r="T206" i="11"/>
  <c r="T207" i="11"/>
  <c r="T208" i="11"/>
  <c r="I207" i="11"/>
  <c r="O207" i="11"/>
  <c r="O208" i="11"/>
  <c r="E209" i="11"/>
  <c r="F209" i="11"/>
  <c r="G209" i="11"/>
  <c r="I209" i="11"/>
  <c r="K209" i="11"/>
  <c r="L209" i="11"/>
  <c r="N209" i="11"/>
  <c r="Q209" i="11"/>
  <c r="S209" i="11"/>
  <c r="I210" i="11"/>
  <c r="I211" i="11"/>
  <c r="I8" i="9"/>
  <c r="N213" i="11"/>
  <c r="N218" i="11"/>
  <c r="I212" i="11"/>
  <c r="Q212" i="11"/>
  <c r="E213" i="11"/>
  <c r="E218" i="11"/>
  <c r="E219" i="11" s="1"/>
  <c r="E227" i="11"/>
  <c r="E223" i="11"/>
  <c r="F213" i="11"/>
  <c r="G213" i="11"/>
  <c r="H213" i="11"/>
  <c r="H218" i="11"/>
  <c r="H223" i="11"/>
  <c r="I213" i="11"/>
  <c r="K213" i="11"/>
  <c r="K218" i="11"/>
  <c r="L213" i="11"/>
  <c r="L218" i="11"/>
  <c r="S213" i="11"/>
  <c r="I214" i="11"/>
  <c r="O214" i="11"/>
  <c r="O215" i="11"/>
  <c r="O213" i="11"/>
  <c r="Q214" i="11"/>
  <c r="Q218" i="11" s="1"/>
  <c r="I215" i="11"/>
  <c r="T215" i="11"/>
  <c r="T216" i="11"/>
  <c r="T217" i="11"/>
  <c r="F218" i="11"/>
  <c r="F219" i="11" s="1"/>
  <c r="F223" i="11"/>
  <c r="G218" i="11"/>
  <c r="I218" i="11"/>
  <c r="M218" i="11"/>
  <c r="M213" i="11"/>
  <c r="M227" i="11"/>
  <c r="M223" i="11"/>
  <c r="S218" i="11"/>
  <c r="S219" i="11" s="1"/>
  <c r="S227" i="11"/>
  <c r="S223" i="11"/>
  <c r="I219" i="11"/>
  <c r="I220" i="11"/>
  <c r="I221" i="11"/>
  <c r="O221" i="11"/>
  <c r="O223" i="11" s="1"/>
  <c r="Q221" i="11"/>
  <c r="G223" i="11"/>
  <c r="I223" i="11"/>
  <c r="K223" i="11"/>
  <c r="L223" i="11"/>
  <c r="N223" i="11"/>
  <c r="I224" i="11"/>
  <c r="I225" i="11"/>
  <c r="Q225" i="11"/>
  <c r="Q226" i="11"/>
  <c r="T226" i="11" s="1"/>
  <c r="I226" i="11"/>
  <c r="G227" i="11"/>
  <c r="I227" i="11"/>
  <c r="L227" i="11"/>
  <c r="O227" i="11"/>
  <c r="I228" i="11"/>
  <c r="U228" i="11"/>
  <c r="I229" i="11"/>
  <c r="I230" i="11"/>
  <c r="I231" i="11"/>
  <c r="K8" i="9"/>
  <c r="O58" i="11"/>
  <c r="K14" i="9"/>
  <c r="K18" i="9"/>
  <c r="C8" i="9"/>
  <c r="C14" i="9"/>
  <c r="C15" i="9"/>
  <c r="C17" i="9"/>
  <c r="C18" i="9"/>
  <c r="D8" i="9"/>
  <c r="E8" i="9"/>
  <c r="H8" i="9"/>
  <c r="L8" i="9"/>
  <c r="M8" i="9"/>
  <c r="L9" i="9"/>
  <c r="L10" i="9"/>
  <c r="M10" i="9"/>
  <c r="M18" i="9"/>
  <c r="M14" i="9"/>
  <c r="E18" i="9"/>
  <c r="E17" i="9"/>
  <c r="I15" i="9"/>
  <c r="I18" i="9"/>
  <c r="I14" i="9"/>
  <c r="I17" i="9"/>
  <c r="I22" i="9"/>
  <c r="I25" i="9"/>
  <c r="I27" i="9"/>
  <c r="I31" i="9"/>
  <c r="I33" i="9"/>
  <c r="D14" i="9"/>
  <c r="G22" i="9"/>
  <c r="G27" i="9"/>
  <c r="G31" i="9"/>
  <c r="G33" i="9"/>
  <c r="H14" i="9"/>
  <c r="J14" i="9"/>
  <c r="J8" i="9"/>
  <c r="J15" i="9"/>
  <c r="J17" i="9"/>
  <c r="J18" i="9"/>
  <c r="L14" i="9"/>
  <c r="N14" i="9"/>
  <c r="O33" i="9"/>
  <c r="D15" i="9"/>
  <c r="D17" i="9"/>
  <c r="H17" i="9"/>
  <c r="L17" i="9"/>
  <c r="D18" i="9"/>
  <c r="H18" i="9"/>
  <c r="L18" i="9"/>
  <c r="N18" i="9"/>
  <c r="C22" i="9"/>
  <c r="C25" i="9"/>
  <c r="C27" i="9"/>
  <c r="C31" i="9"/>
  <c r="C33" i="9"/>
  <c r="D22" i="9"/>
  <c r="E22" i="9"/>
  <c r="J22" i="9"/>
  <c r="L25" i="9"/>
  <c r="L27" i="9"/>
  <c r="L31" i="9"/>
  <c r="L33" i="9"/>
  <c r="M22" i="9"/>
  <c r="O192" i="1"/>
  <c r="O470" i="1"/>
  <c r="O93" i="1"/>
  <c r="O117" i="1"/>
  <c r="M27" i="9"/>
  <c r="M31" i="9"/>
  <c r="D25" i="9"/>
  <c r="D27" i="9"/>
  <c r="D31" i="9"/>
  <c r="D33" i="9"/>
  <c r="E25" i="9"/>
  <c r="E27" i="9"/>
  <c r="E31" i="9"/>
  <c r="E33" i="9"/>
  <c r="H25" i="9"/>
  <c r="H27" i="9"/>
  <c r="H31" i="9"/>
  <c r="H33" i="9"/>
  <c r="J25" i="9"/>
  <c r="J27" i="9"/>
  <c r="J31" i="9"/>
  <c r="N31" i="9"/>
  <c r="N33" i="9"/>
  <c r="F31" i="9"/>
  <c r="F33" i="9"/>
  <c r="W41" i="11"/>
  <c r="W43" i="11" s="1"/>
  <c r="W179" i="11"/>
  <c r="W160" i="11"/>
  <c r="W21" i="11"/>
  <c r="W223" i="11"/>
  <c r="W213" i="11"/>
  <c r="V13" i="11"/>
  <c r="V175" i="11"/>
  <c r="Q483" i="1"/>
  <c r="O32" i="9" s="1"/>
  <c r="Y219" i="11"/>
  <c r="W440" i="1"/>
  <c r="W62" i="1"/>
  <c r="W69" i="1"/>
  <c r="W44" i="1"/>
  <c r="W379" i="1"/>
  <c r="W385" i="1"/>
  <c r="W390" i="1"/>
  <c r="W398" i="1"/>
  <c r="W427" i="1"/>
  <c r="W463" i="1"/>
  <c r="W408" i="1"/>
  <c r="W455" i="1"/>
  <c r="W360" i="1"/>
  <c r="W474" i="1"/>
  <c r="W117" i="1"/>
  <c r="S7" i="9"/>
  <c r="Y9" i="11"/>
  <c r="Y127" i="11"/>
  <c r="W370" i="1"/>
  <c r="W93" i="1"/>
  <c r="W470" i="1"/>
  <c r="AA218" i="11"/>
  <c r="AA213" i="11"/>
  <c r="AA219" i="11"/>
  <c r="AA229" i="11" s="1"/>
  <c r="W171" i="11"/>
  <c r="X171" i="11"/>
  <c r="Q58" i="11"/>
  <c r="H6" i="9"/>
  <c r="R8" i="9"/>
  <c r="X38" i="11"/>
  <c r="X39" i="11" s="1"/>
  <c r="X153" i="11"/>
  <c r="X157" i="11" s="1"/>
  <c r="U157" i="11"/>
  <c r="T302" i="1"/>
  <c r="Q302" i="1"/>
  <c r="Z7" i="11"/>
  <c r="Z9" i="11" s="1"/>
  <c r="T6" i="9" s="1"/>
  <c r="T16" i="9"/>
  <c r="Q8" i="9"/>
  <c r="S483" i="1"/>
  <c r="R18" i="12" s="1"/>
  <c r="AA23" i="11"/>
  <c r="Q96" i="11"/>
  <c r="X32" i="11"/>
  <c r="X35" i="11" s="1"/>
  <c r="AA48" i="11"/>
  <c r="X8" i="10" s="1"/>
  <c r="AC9" i="11"/>
  <c r="W6" i="9" s="1"/>
  <c r="X16" i="9"/>
  <c r="V127" i="11"/>
  <c r="AD55" i="11"/>
  <c r="AD61" i="11"/>
  <c r="AC89" i="11"/>
  <c r="Y153" i="1"/>
  <c r="W31" i="9"/>
  <c r="Q223" i="11"/>
  <c r="T221" i="11"/>
  <c r="T223" i="11" s="1"/>
  <c r="F15" i="9"/>
  <c r="H39" i="11"/>
  <c r="L15" i="9"/>
  <c r="T140" i="11"/>
  <c r="T11" i="11"/>
  <c r="T13" i="11" s="1"/>
  <c r="X14" i="9"/>
  <c r="W14" i="9"/>
  <c r="Z20" i="1"/>
  <c r="Z58" i="1"/>
  <c r="Z220" i="1"/>
  <c r="Z296" i="1"/>
  <c r="Z25" i="1"/>
  <c r="Y62" i="1"/>
  <c r="Z125" i="1"/>
  <c r="Y127" i="1"/>
  <c r="Z242" i="1"/>
  <c r="Z306" i="1"/>
  <c r="Z353" i="1"/>
  <c r="W27" i="9"/>
  <c r="Z43" i="1"/>
  <c r="Z56" i="1"/>
  <c r="Z113" i="1"/>
  <c r="Z280" i="1"/>
  <c r="Y69" i="1"/>
  <c r="AD154" i="11"/>
  <c r="AD221" i="11"/>
  <c r="AD223" i="11" s="1"/>
  <c r="Z31" i="1"/>
  <c r="Z48" i="1"/>
  <c r="Z89" i="1"/>
  <c r="Z181" i="1"/>
  <c r="Z186" i="1"/>
  <c r="Z214" i="1"/>
  <c r="Z287" i="1"/>
  <c r="Z369" i="1"/>
  <c r="AC213" i="11"/>
  <c r="AC219" i="11" s="1"/>
  <c r="Y398" i="1"/>
  <c r="W8" i="9"/>
  <c r="Z445" i="1"/>
  <c r="AD56" i="11"/>
  <c r="W9" i="9"/>
  <c r="AD190" i="11"/>
  <c r="AC202" i="11"/>
  <c r="Z13" i="1"/>
  <c r="Z73" i="1"/>
  <c r="Z147" i="1"/>
  <c r="Z185" i="1"/>
  <c r="Z433" i="1"/>
  <c r="Z441" i="1"/>
  <c r="AD37" i="11"/>
  <c r="AC39" i="11"/>
  <c r="Z7" i="1"/>
  <c r="Z17" i="1"/>
  <c r="Z238" i="1"/>
  <c r="AC21" i="11"/>
  <c r="Z21" i="1"/>
  <c r="Z322" i="1"/>
  <c r="Z382" i="1"/>
  <c r="Z416" i="1"/>
  <c r="AC187" i="11"/>
  <c r="Z24" i="1"/>
  <c r="Z47" i="1"/>
  <c r="Z156" i="1"/>
  <c r="Z177" i="1"/>
  <c r="Z365" i="1"/>
  <c r="Z14" i="1"/>
  <c r="Z51" i="1"/>
  <c r="Z208" i="1"/>
  <c r="Z268" i="1"/>
  <c r="Z289" i="1"/>
  <c r="Z308" i="1"/>
  <c r="Z325" i="1"/>
  <c r="AC96" i="11"/>
  <c r="Z42" i="1"/>
  <c r="Z50" i="1"/>
  <c r="Z109" i="1"/>
  <c r="Z175" i="1"/>
  <c r="Z190" i="1"/>
  <c r="Z468" i="1"/>
  <c r="Z18" i="1"/>
  <c r="Z202" i="1"/>
  <c r="Z286" i="1"/>
  <c r="Z294" i="1"/>
  <c r="Z312" i="1"/>
  <c r="Z395" i="1"/>
  <c r="Z405" i="1"/>
  <c r="Z418" i="1"/>
  <c r="Z461" i="1"/>
  <c r="Z402" i="1"/>
  <c r="Z421" i="1"/>
  <c r="Z456" i="1"/>
  <c r="Z453" i="1"/>
  <c r="Z354" i="1"/>
  <c r="Z376" i="1"/>
  <c r="Z388" i="1"/>
  <c r="Z414" i="1"/>
  <c r="Z446" i="1"/>
  <c r="Y385" i="1"/>
  <c r="AD101" i="11"/>
  <c r="G7" i="9"/>
  <c r="S13" i="11"/>
  <c r="S23" i="11" s="1"/>
  <c r="U12" i="11"/>
  <c r="X12" i="11" s="1"/>
  <c r="X13" i="11" s="1"/>
  <c r="AD51" i="11"/>
  <c r="AD21" i="11"/>
  <c r="U176" i="11"/>
  <c r="X176" i="11" s="1"/>
  <c r="AB219" i="11"/>
  <c r="AB229" i="11" s="1"/>
  <c r="Y13" i="10" s="1"/>
  <c r="T225" i="11"/>
  <c r="V149" i="11"/>
  <c r="V151" i="11" s="1"/>
  <c r="P12" i="9" s="1"/>
  <c r="T41" i="11"/>
  <c r="V202" i="11"/>
  <c r="W30" i="11"/>
  <c r="V187" i="11"/>
  <c r="AC160" i="11"/>
  <c r="V30" i="11"/>
  <c r="P5" i="10"/>
  <c r="M7" i="9"/>
  <c r="T10" i="9"/>
  <c r="F204" i="11"/>
  <c r="P204" i="11"/>
  <c r="Y204" i="11"/>
  <c r="S13" i="9" s="1"/>
  <c r="S175" i="11"/>
  <c r="Y104" i="1"/>
  <c r="Z104" i="1" s="1"/>
  <c r="Y413" i="1"/>
  <c r="U474" i="1"/>
  <c r="Y440" i="1"/>
  <c r="Y427" i="1"/>
  <c r="Y370" i="1"/>
  <c r="Z474" i="1"/>
  <c r="Y326" i="1"/>
  <c r="W22" i="9"/>
  <c r="X31" i="9"/>
  <c r="Y408" i="1"/>
  <c r="Y151" i="11"/>
  <c r="S12" i="9" s="1"/>
  <c r="AD202" i="11"/>
  <c r="T8" i="9"/>
  <c r="T9" i="9"/>
  <c r="Z39" i="11"/>
  <c r="W96" i="11"/>
  <c r="O179" i="11"/>
  <c r="X153" i="1"/>
  <c r="V32" i="9"/>
  <c r="Y98" i="1"/>
  <c r="T176" i="11"/>
  <c r="U39" i="11"/>
  <c r="AC166" i="11"/>
  <c r="W10" i="9"/>
  <c r="T169" i="11"/>
  <c r="D13" i="9"/>
  <c r="T180" i="11"/>
  <c r="C7" i="9"/>
  <c r="P9" i="11"/>
  <c r="AD35" i="11"/>
  <c r="G21" i="11"/>
  <c r="AB149" i="11"/>
  <c r="AC223" i="11"/>
  <c r="T162" i="11"/>
  <c r="Q157" i="11"/>
  <c r="X8" i="11"/>
  <c r="X9" i="11" s="1"/>
  <c r="R6" i="9" s="1"/>
  <c r="U9" i="11"/>
  <c r="O6" i="9" s="1"/>
  <c r="AC35" i="11"/>
  <c r="O263" i="1"/>
  <c r="H219" i="11"/>
  <c r="H229" i="11" s="1"/>
  <c r="Z89" i="11"/>
  <c r="S191" i="11"/>
  <c r="S202" i="11" s="1"/>
  <c r="S204" i="11" s="1"/>
  <c r="M13" i="9" s="1"/>
  <c r="X163" i="11"/>
  <c r="R179" i="11"/>
  <c r="P15" i="9"/>
  <c r="V35" i="11"/>
  <c r="P23" i="11"/>
  <c r="W9" i="11"/>
  <c r="Q6" i="9" s="1"/>
  <c r="Z202" i="11"/>
  <c r="AD155" i="11"/>
  <c r="O62" i="1"/>
  <c r="U12" i="9" l="1"/>
  <c r="V13" i="9"/>
  <c r="L11" i="9"/>
  <c r="X29" i="9"/>
  <c r="AB70" i="1"/>
  <c r="AA6" i="12" s="1"/>
  <c r="Z29" i="9"/>
  <c r="AA70" i="1"/>
  <c r="Y29" i="9"/>
  <c r="U18" i="12"/>
  <c r="Z463" i="1"/>
  <c r="V18" i="12"/>
  <c r="Z31" i="9"/>
  <c r="AB479" i="1"/>
  <c r="AA15" i="12" s="1"/>
  <c r="Z387" i="1"/>
  <c r="Z390" i="1" s="1"/>
  <c r="AC399" i="1"/>
  <c r="AC460" i="1" s="1"/>
  <c r="Z479" i="1"/>
  <c r="I18" i="12"/>
  <c r="S66" i="1"/>
  <c r="T66" i="1" s="1"/>
  <c r="T69" i="1" s="1"/>
  <c r="R29" i="9" s="1"/>
  <c r="AA479" i="1"/>
  <c r="AA22" i="9"/>
  <c r="U25" i="9"/>
  <c r="Y455" i="1"/>
  <c r="Z65" i="1"/>
  <c r="X30" i="9" s="1"/>
  <c r="P22" i="9"/>
  <c r="Y44" i="1"/>
  <c r="Y70" i="1" s="1"/>
  <c r="X6" i="12" s="1"/>
  <c r="Z413" i="1"/>
  <c r="Y299" i="1"/>
  <c r="W32" i="9"/>
  <c r="R470" i="1"/>
  <c r="H62" i="1"/>
  <c r="V463" i="1"/>
  <c r="V416" i="1"/>
  <c r="T51" i="1"/>
  <c r="T62" i="1" s="1"/>
  <c r="V69" i="1"/>
  <c r="T29" i="9" s="1"/>
  <c r="T127" i="1"/>
  <c r="V455" i="1"/>
  <c r="G399" i="1"/>
  <c r="D70" i="1"/>
  <c r="E6" i="12" s="1"/>
  <c r="V127" i="1"/>
  <c r="R50" i="1"/>
  <c r="S50" i="1" s="1"/>
  <c r="S62" i="1" s="1"/>
  <c r="Y360" i="1"/>
  <c r="I29" i="9"/>
  <c r="P427" i="1"/>
  <c r="R263" i="1"/>
  <c r="T25" i="9"/>
  <c r="S473" i="1"/>
  <c r="T473" i="1" s="1"/>
  <c r="T474" i="1" s="1"/>
  <c r="T479" i="1" s="1"/>
  <c r="S15" i="12" s="1"/>
  <c r="S98" i="1"/>
  <c r="S105" i="1" s="1"/>
  <c r="V27" i="9"/>
  <c r="R32" i="9"/>
  <c r="V245" i="1"/>
  <c r="V263" i="1" s="1"/>
  <c r="V466" i="1"/>
  <c r="V470" i="1" s="1"/>
  <c r="W479" i="1"/>
  <c r="V15" i="12" s="1"/>
  <c r="G62" i="1"/>
  <c r="W327" i="1"/>
  <c r="R98" i="1"/>
  <c r="R105" i="1" s="1"/>
  <c r="K479" i="1"/>
  <c r="L15" i="12" s="1"/>
  <c r="R127" i="1"/>
  <c r="S463" i="1"/>
  <c r="Z62" i="1"/>
  <c r="Z127" i="1"/>
  <c r="W399" i="1"/>
  <c r="W460" i="1" s="1"/>
  <c r="K413" i="1"/>
  <c r="Q455" i="1"/>
  <c r="Q62" i="1"/>
  <c r="S440" i="1"/>
  <c r="V440" i="1"/>
  <c r="V408" i="1"/>
  <c r="V427" i="1"/>
  <c r="V385" i="1"/>
  <c r="V360" i="1"/>
  <c r="V326" i="1"/>
  <c r="V243" i="1"/>
  <c r="V93" i="1"/>
  <c r="V62" i="1"/>
  <c r="U327" i="1"/>
  <c r="S26" i="9" s="1"/>
  <c r="Z153" i="1"/>
  <c r="Z379" i="1"/>
  <c r="X299" i="1"/>
  <c r="G18" i="12"/>
  <c r="Y18" i="12"/>
  <c r="R390" i="1"/>
  <c r="R399" i="1" s="1"/>
  <c r="P32" i="9"/>
  <c r="R117" i="1"/>
  <c r="O230" i="1"/>
  <c r="O243" i="1" s="1"/>
  <c r="S63" i="1"/>
  <c r="S65" i="1" s="1"/>
  <c r="Q30" i="9" s="1"/>
  <c r="Q105" i="1"/>
  <c r="P25" i="9"/>
  <c r="D29" i="9"/>
  <c r="G32" i="9"/>
  <c r="Y399" i="1"/>
  <c r="S385" i="1"/>
  <c r="R385" i="1"/>
  <c r="J479" i="1"/>
  <c r="K15" i="12" s="1"/>
  <c r="F399" i="1"/>
  <c r="G192" i="1"/>
  <c r="O105" i="1"/>
  <c r="O145" i="1" s="1"/>
  <c r="N9" i="12" s="1"/>
  <c r="J70" i="1"/>
  <c r="K6" i="12" s="1"/>
  <c r="G65" i="1"/>
  <c r="G30" i="9" s="1"/>
  <c r="I70" i="1"/>
  <c r="J6" i="12" s="1"/>
  <c r="E62" i="1"/>
  <c r="Q390" i="1"/>
  <c r="Q263" i="1"/>
  <c r="X479" i="1"/>
  <c r="W15" i="12" s="1"/>
  <c r="R326" i="1"/>
  <c r="Y93" i="1"/>
  <c r="L22" i="9"/>
  <c r="AC44" i="1"/>
  <c r="AC70" i="1" s="1"/>
  <c r="L69" i="1"/>
  <c r="L70" i="1" s="1"/>
  <c r="R44" i="1"/>
  <c r="S371" i="1"/>
  <c r="T371" i="1" s="1"/>
  <c r="T379" i="1" s="1"/>
  <c r="M370" i="1"/>
  <c r="M98" i="1"/>
  <c r="M105" i="1" s="1"/>
  <c r="S470" i="1"/>
  <c r="P27" i="9"/>
  <c r="N460" i="1"/>
  <c r="L28" i="9" s="1"/>
  <c r="N18" i="12"/>
  <c r="P288" i="1"/>
  <c r="P382" i="1"/>
  <c r="P385" i="1" s="1"/>
  <c r="Z427" i="1"/>
  <c r="Q479" i="1"/>
  <c r="P15" i="12" s="1"/>
  <c r="P300" i="1"/>
  <c r="P302" i="1" s="1"/>
  <c r="K18" i="12"/>
  <c r="P286" i="1"/>
  <c r="K370" i="1"/>
  <c r="C327" i="1"/>
  <c r="C26" i="9" s="1"/>
  <c r="F327" i="1"/>
  <c r="F26" i="9" s="1"/>
  <c r="K243" i="1"/>
  <c r="K117" i="1"/>
  <c r="K69" i="1"/>
  <c r="K29" i="9" s="1"/>
  <c r="Q360" i="1"/>
  <c r="C13" i="9"/>
  <c r="Z48" i="11"/>
  <c r="W8" i="10" s="1"/>
  <c r="U13" i="9"/>
  <c r="AA211" i="11"/>
  <c r="X11" i="10" s="1"/>
  <c r="AD157" i="11"/>
  <c r="K17" i="9"/>
  <c r="Q175" i="11"/>
  <c r="T43" i="11"/>
  <c r="AC127" i="11"/>
  <c r="X9" i="9"/>
  <c r="AC149" i="11"/>
  <c r="AC151" i="11" s="1"/>
  <c r="W12" i="9" s="1"/>
  <c r="M204" i="11"/>
  <c r="I13" i="9" s="1"/>
  <c r="R151" i="11"/>
  <c r="L12" i="9" s="1"/>
  <c r="T39" i="11"/>
  <c r="F11" i="9"/>
  <c r="K151" i="11"/>
  <c r="G12" i="9" s="1"/>
  <c r="U175" i="11"/>
  <c r="W209" i="11"/>
  <c r="Q9" i="9"/>
  <c r="W127" i="11"/>
  <c r="U191" i="11"/>
  <c r="U202" i="11" s="1"/>
  <c r="Q149" i="11"/>
  <c r="G23" i="11"/>
  <c r="Q179" i="11"/>
  <c r="Q10" i="9"/>
  <c r="AD208" i="11"/>
  <c r="AD209" i="11" s="1"/>
  <c r="AA5" i="10"/>
  <c r="AD127" i="11"/>
  <c r="Y229" i="11"/>
  <c r="T58" i="11"/>
  <c r="X41" i="11"/>
  <c r="X43" i="11" s="1"/>
  <c r="L18" i="12"/>
  <c r="Q127" i="11"/>
  <c r="N48" i="11"/>
  <c r="M8" i="10" s="1"/>
  <c r="R5" i="10"/>
  <c r="U166" i="11"/>
  <c r="W218" i="11"/>
  <c r="R10" i="9"/>
  <c r="AC157" i="11"/>
  <c r="S131" i="11"/>
  <c r="S149" i="11" s="1"/>
  <c r="Q89" i="11"/>
  <c r="W15" i="9"/>
  <c r="C11" i="9"/>
  <c r="Z21" i="11"/>
  <c r="U209" i="11"/>
  <c r="AC30" i="11"/>
  <c r="AD39" i="11"/>
  <c r="Q39" i="11"/>
  <c r="V5" i="10"/>
  <c r="E151" i="11"/>
  <c r="C12" i="9" s="1"/>
  <c r="L151" i="11"/>
  <c r="H12" i="9" s="1"/>
  <c r="AD218" i="11"/>
  <c r="AD219" i="11" s="1"/>
  <c r="AD229" i="11" s="1"/>
  <c r="AA13" i="10" s="1"/>
  <c r="AE151" i="11"/>
  <c r="Y12" i="9" s="1"/>
  <c r="G6" i="9"/>
  <c r="G19" i="9" s="1"/>
  <c r="K23" i="11"/>
  <c r="J18" i="12"/>
  <c r="I32" i="9"/>
  <c r="P473" i="1"/>
  <c r="P474" i="1" s="1"/>
  <c r="M474" i="1"/>
  <c r="H22" i="9"/>
  <c r="H360" i="1"/>
  <c r="K192" i="1"/>
  <c r="P403" i="1"/>
  <c r="P408" i="1" s="1"/>
  <c r="M408" i="1"/>
  <c r="P443" i="1"/>
  <c r="P455" i="1" s="1"/>
  <c r="M455" i="1"/>
  <c r="F93" i="1"/>
  <c r="F22" i="9"/>
  <c r="F34" i="9" s="1"/>
  <c r="G44" i="1"/>
  <c r="F44" i="1"/>
  <c r="X221" i="11"/>
  <c r="X223" i="11" s="1"/>
  <c r="U223" i="11"/>
  <c r="S89" i="11"/>
  <c r="S151" i="11" s="1"/>
  <c r="M12" i="9" s="1"/>
  <c r="U67" i="11"/>
  <c r="O9" i="9" s="1"/>
  <c r="O31" i="9"/>
  <c r="P18" i="12"/>
  <c r="T404" i="1"/>
  <c r="T408" i="1" s="1"/>
  <c r="Q408" i="1"/>
  <c r="Q427" i="1"/>
  <c r="T270" i="1"/>
  <c r="T299" i="1" s="1"/>
  <c r="R270" i="1"/>
  <c r="S270" i="1" s="1"/>
  <c r="S299" i="1" s="1"/>
  <c r="T74" i="1"/>
  <c r="Q93" i="1"/>
  <c r="X165" i="11"/>
  <c r="X166" i="11" s="1"/>
  <c r="W166" i="11"/>
  <c r="W149" i="11"/>
  <c r="W151" i="11" s="1"/>
  <c r="Q12" i="9" s="1"/>
  <c r="M299" i="1"/>
  <c r="W202" i="11"/>
  <c r="M243" i="1"/>
  <c r="O455" i="1"/>
  <c r="M390" i="1"/>
  <c r="K15" i="9"/>
  <c r="X175" i="11"/>
  <c r="O202" i="11"/>
  <c r="T181" i="11"/>
  <c r="Q187" i="11"/>
  <c r="U160" i="11"/>
  <c r="O29" i="11"/>
  <c r="O30" i="11" s="1"/>
  <c r="M30" i="11"/>
  <c r="I11" i="9" s="1"/>
  <c r="H15" i="9"/>
  <c r="L21" i="11"/>
  <c r="D6" i="9"/>
  <c r="D19" i="9" s="1"/>
  <c r="E5" i="10"/>
  <c r="N32" i="9"/>
  <c r="O18" i="12"/>
  <c r="K455" i="1"/>
  <c r="K27" i="9"/>
  <c r="K390" i="1"/>
  <c r="P393" i="1"/>
  <c r="P398" i="1" s="1"/>
  <c r="M398" i="1"/>
  <c r="P466" i="1"/>
  <c r="P470" i="1" s="1"/>
  <c r="M470" i="1"/>
  <c r="P159" i="1"/>
  <c r="P192" i="1" s="1"/>
  <c r="M192" i="1"/>
  <c r="U23" i="11"/>
  <c r="M62" i="1"/>
  <c r="AD23" i="11"/>
  <c r="H48" i="11"/>
  <c r="G8" i="10" s="1"/>
  <c r="Q15" i="9"/>
  <c r="Q202" i="11"/>
  <c r="Q151" i="11"/>
  <c r="O15" i="9"/>
  <c r="W187" i="11"/>
  <c r="AD58" i="11"/>
  <c r="S6" i="9"/>
  <c r="S19" i="9" s="1"/>
  <c r="Q166" i="11"/>
  <c r="O166" i="11"/>
  <c r="P211" i="11"/>
  <c r="N151" i="11"/>
  <c r="J12" i="9" s="1"/>
  <c r="T35" i="11"/>
  <c r="R48" i="11"/>
  <c r="O8" i="10" s="1"/>
  <c r="G11" i="9"/>
  <c r="K427" i="1"/>
  <c r="D399" i="1"/>
  <c r="D460" i="1" s="1"/>
  <c r="D28" i="9" s="1"/>
  <c r="L327" i="1"/>
  <c r="K326" i="1"/>
  <c r="Z5" i="10"/>
  <c r="AC23" i="11"/>
  <c r="S5" i="10"/>
  <c r="P7" i="9"/>
  <c r="P19" i="9" s="1"/>
  <c r="I479" i="1"/>
  <c r="J15" i="12" s="1"/>
  <c r="K7" i="9"/>
  <c r="K19" i="9" s="1"/>
  <c r="K219" i="11"/>
  <c r="Q213" i="11"/>
  <c r="T212" i="11"/>
  <c r="N8" i="9" s="1"/>
  <c r="O187" i="11"/>
  <c r="X15" i="9"/>
  <c r="D479" i="1"/>
  <c r="E15" i="12" s="1"/>
  <c r="Z151" i="11"/>
  <c r="T12" i="9" s="1"/>
  <c r="R204" i="11"/>
  <c r="R211" i="11" s="1"/>
  <c r="O11" i="10" s="1"/>
  <c r="Q227" i="11"/>
  <c r="F151" i="11"/>
  <c r="Q43" i="11"/>
  <c r="I43" i="11"/>
  <c r="U25" i="11"/>
  <c r="U30" i="11" s="1"/>
  <c r="S30" i="11"/>
  <c r="M11" i="9" s="1"/>
  <c r="F23" i="11"/>
  <c r="K204" i="11"/>
  <c r="E6" i="9"/>
  <c r="E19" i="9" s="1"/>
  <c r="F5" i="10"/>
  <c r="P413" i="1"/>
  <c r="P148" i="1"/>
  <c r="P153" i="1" s="1"/>
  <c r="M153" i="1"/>
  <c r="K93" i="1"/>
  <c r="K44" i="1"/>
  <c r="K22" i="9"/>
  <c r="O8" i="9"/>
  <c r="O19" i="9" s="1"/>
  <c r="U213" i="11"/>
  <c r="X149" i="11"/>
  <c r="X151" i="11" s="1"/>
  <c r="R12" i="9" s="1"/>
  <c r="Q370" i="1"/>
  <c r="X187" i="11"/>
  <c r="Y43" i="11"/>
  <c r="X399" i="1"/>
  <c r="X460" i="1" s="1"/>
  <c r="V28" i="9" s="1"/>
  <c r="X105" i="1"/>
  <c r="X145" i="1" s="1"/>
  <c r="W9" i="12" s="1"/>
  <c r="AF204" i="11"/>
  <c r="Z13" i="9" s="1"/>
  <c r="AC204" i="11"/>
  <c r="W175" i="11"/>
  <c r="T11" i="9"/>
  <c r="R427" i="1"/>
  <c r="I299" i="1"/>
  <c r="I327" i="1" s="1"/>
  <c r="I26" i="9" s="1"/>
  <c r="L219" i="11"/>
  <c r="P219" i="11"/>
  <c r="P229" i="11" s="1"/>
  <c r="C399" i="1"/>
  <c r="C460" i="1" s="1"/>
  <c r="C28" i="9" s="1"/>
  <c r="K127" i="1"/>
  <c r="U399" i="1"/>
  <c r="U460" i="1" s="1"/>
  <c r="S28" i="9" s="1"/>
  <c r="X22" i="9"/>
  <c r="X25" i="9"/>
  <c r="AD89" i="11"/>
  <c r="AA25" i="9"/>
  <c r="V65" i="1"/>
  <c r="T30" i="9" s="1"/>
  <c r="Z25" i="9"/>
  <c r="L6" i="9"/>
  <c r="L19" i="9" s="1"/>
  <c r="O5" i="10"/>
  <c r="C19" i="9"/>
  <c r="W19" i="9"/>
  <c r="T214" i="11"/>
  <c r="T218" i="11" s="1"/>
  <c r="O149" i="11"/>
  <c r="AD204" i="11"/>
  <c r="Y211" i="11"/>
  <c r="V11" i="10" s="1"/>
  <c r="AC48" i="11"/>
  <c r="Z8" i="10" s="1"/>
  <c r="P48" i="11"/>
  <c r="D11" i="9"/>
  <c r="R23" i="11"/>
  <c r="H21" i="11"/>
  <c r="H23" i="11" s="1"/>
  <c r="E23" i="11"/>
  <c r="Z13" i="11"/>
  <c r="AB9" i="11"/>
  <c r="AB23" i="11" s="1"/>
  <c r="AB127" i="11"/>
  <c r="AD43" i="11"/>
  <c r="AF219" i="11"/>
  <c r="AF229" i="11" s="1"/>
  <c r="AC13" i="10" s="1"/>
  <c r="AE219" i="11"/>
  <c r="AE229" i="11" s="1"/>
  <c r="AB13" i="10" s="1"/>
  <c r="Z455" i="1"/>
  <c r="N479" i="1"/>
  <c r="M15" i="12" s="1"/>
  <c r="I399" i="1"/>
  <c r="I460" i="1" s="1"/>
  <c r="L479" i="1"/>
  <c r="F105" i="1"/>
  <c r="P390" i="1"/>
  <c r="K153" i="1"/>
  <c r="K98" i="1"/>
  <c r="K105" i="1" s="1"/>
  <c r="G93" i="1"/>
  <c r="E327" i="1"/>
  <c r="E26" i="9" s="1"/>
  <c r="G29" i="9"/>
  <c r="E69" i="1"/>
  <c r="E29" i="9" s="1"/>
  <c r="F69" i="1"/>
  <c r="F29" i="9" s="1"/>
  <c r="C69" i="1"/>
  <c r="C70" i="1" s="1"/>
  <c r="D6" i="12" s="1"/>
  <c r="K62" i="1"/>
  <c r="F62" i="1"/>
  <c r="Q69" i="1"/>
  <c r="O29" i="9" s="1"/>
  <c r="Q379" i="1"/>
  <c r="Q463" i="1"/>
  <c r="Q153" i="1"/>
  <c r="Q326" i="1"/>
  <c r="S408" i="1"/>
  <c r="V413" i="1"/>
  <c r="V398" i="1"/>
  <c r="T27" i="9"/>
  <c r="V379" i="1"/>
  <c r="AB399" i="1"/>
  <c r="AB460" i="1" s="1"/>
  <c r="Z28" i="9" s="1"/>
  <c r="F479" i="1"/>
  <c r="G15" i="12" s="1"/>
  <c r="G455" i="1"/>
  <c r="K440" i="1"/>
  <c r="K408" i="1"/>
  <c r="K398" i="1"/>
  <c r="H399" i="1"/>
  <c r="H460" i="1" s="1"/>
  <c r="H28" i="9" s="1"/>
  <c r="K385" i="1"/>
  <c r="K379" i="1"/>
  <c r="G360" i="1"/>
  <c r="K360" i="1"/>
  <c r="J327" i="1"/>
  <c r="J26" i="9" s="1"/>
  <c r="H326" i="1"/>
  <c r="D327" i="1"/>
  <c r="D26" i="9" s="1"/>
  <c r="K263" i="1"/>
  <c r="K25" i="9"/>
  <c r="Q127" i="1"/>
  <c r="Q192" i="1"/>
  <c r="R455" i="1"/>
  <c r="V192" i="1"/>
  <c r="V299" i="1"/>
  <c r="V153" i="1"/>
  <c r="V390" i="1"/>
  <c r="W145" i="1"/>
  <c r="V9" i="12" s="1"/>
  <c r="V98" i="1"/>
  <c r="V105" i="1" s="1"/>
  <c r="V370" i="1"/>
  <c r="V117" i="1"/>
  <c r="T22" i="9"/>
  <c r="V29" i="9"/>
  <c r="Z93" i="1"/>
  <c r="Z105" i="1"/>
  <c r="Z299" i="1"/>
  <c r="Z326" i="1"/>
  <c r="Z385" i="1"/>
  <c r="Z398" i="1"/>
  <c r="Z440" i="1"/>
  <c r="Z470" i="1"/>
  <c r="V25" i="9"/>
  <c r="T106" i="1"/>
  <c r="T117" i="1" s="1"/>
  <c r="S117" i="1"/>
  <c r="S370" i="1"/>
  <c r="P69" i="1"/>
  <c r="N29" i="9" s="1"/>
  <c r="R243" i="1"/>
  <c r="M326" i="1"/>
  <c r="M117" i="1"/>
  <c r="M44" i="1"/>
  <c r="V44" i="1"/>
  <c r="R360" i="1"/>
  <c r="J29" i="9"/>
  <c r="O37" i="1"/>
  <c r="M127" i="1"/>
  <c r="M93" i="1"/>
  <c r="M379" i="1"/>
  <c r="M360" i="1"/>
  <c r="Q398" i="1"/>
  <c r="Y243" i="1"/>
  <c r="X192" i="1"/>
  <c r="Q117" i="1"/>
  <c r="M385" i="1"/>
  <c r="Y117" i="1"/>
  <c r="R370" i="1"/>
  <c r="R93" i="1"/>
  <c r="S394" i="1"/>
  <c r="Y105" i="1"/>
  <c r="M413" i="1"/>
  <c r="P287" i="1"/>
  <c r="T470" i="1"/>
  <c r="Q65" i="1"/>
  <c r="O30" i="9" s="1"/>
  <c r="M427" i="1"/>
  <c r="M440" i="1"/>
  <c r="L32" i="9"/>
  <c r="M463" i="1"/>
  <c r="Y192" i="1"/>
  <c r="V22" i="9"/>
  <c r="Y470" i="1"/>
  <c r="Q32" i="9"/>
  <c r="S146" i="1"/>
  <c r="T146" i="1" s="1"/>
  <c r="T153" i="1" s="1"/>
  <c r="S127" i="1"/>
  <c r="S32" i="9"/>
  <c r="Z370" i="1"/>
  <c r="R479" i="1"/>
  <c r="Q15" i="12" s="1"/>
  <c r="X70" i="1"/>
  <c r="W6" i="12" s="1"/>
  <c r="AB327" i="1"/>
  <c r="AA145" i="1"/>
  <c r="Z9" i="12" s="1"/>
  <c r="E145" i="1"/>
  <c r="F9" i="12" s="1"/>
  <c r="H243" i="1"/>
  <c r="R408" i="1"/>
  <c r="T448" i="1"/>
  <c r="T455" i="1" s="1"/>
  <c r="S455" i="1"/>
  <c r="D145" i="1"/>
  <c r="P127" i="1"/>
  <c r="P326" i="1"/>
  <c r="L460" i="1"/>
  <c r="AC145" i="1"/>
  <c r="G370" i="1"/>
  <c r="E44" i="1"/>
  <c r="Y15" i="12"/>
  <c r="N327" i="1"/>
  <c r="L26" i="9" s="1"/>
  <c r="C145" i="1"/>
  <c r="D9" i="12" s="1"/>
  <c r="P98" i="1"/>
  <c r="P105" i="1" s="1"/>
  <c r="E479" i="1"/>
  <c r="F15" i="12" s="1"/>
  <c r="P438" i="1"/>
  <c r="P440" i="1" s="1"/>
  <c r="T98" i="1"/>
  <c r="Z192" i="1"/>
  <c r="G479" i="1"/>
  <c r="H15" i="12" s="1"/>
  <c r="F413" i="1"/>
  <c r="Q438" i="1"/>
  <c r="Q440" i="1" s="1"/>
  <c r="O440" i="1"/>
  <c r="T99" i="1"/>
  <c r="P379" i="1"/>
  <c r="T440" i="1"/>
  <c r="K299" i="1"/>
  <c r="L145" i="1"/>
  <c r="I145" i="1"/>
  <c r="J9" i="12" s="1"/>
  <c r="P65" i="1"/>
  <c r="N30" i="9" s="1"/>
  <c r="U479" i="1"/>
  <c r="T15" i="12" s="1"/>
  <c r="U145" i="1"/>
  <c r="T9" i="12" s="1"/>
  <c r="T370" i="1"/>
  <c r="O479" i="1"/>
  <c r="N15" i="12" s="1"/>
  <c r="H479" i="1"/>
  <c r="I15" i="12" s="1"/>
  <c r="N145" i="1"/>
  <c r="M9" i="12" s="1"/>
  <c r="J145" i="1"/>
  <c r="K9" i="12" s="1"/>
  <c r="P93" i="1"/>
  <c r="E399" i="1"/>
  <c r="E460" i="1" s="1"/>
  <c r="S413" i="1"/>
  <c r="U29" i="9"/>
  <c r="W70" i="1"/>
  <c r="N25" i="9"/>
  <c r="T162" i="1"/>
  <c r="T192" i="1" s="1"/>
  <c r="S192" i="1"/>
  <c r="T198" i="1"/>
  <c r="T243" i="1" s="1"/>
  <c r="S243" i="1"/>
  <c r="T385" i="1"/>
  <c r="T87" i="1"/>
  <c r="S93" i="1"/>
  <c r="P463" i="1"/>
  <c r="O299" i="1"/>
  <c r="T316" i="1"/>
  <c r="T326" i="1" s="1"/>
  <c r="S326" i="1"/>
  <c r="T415" i="1"/>
  <c r="T427" i="1" s="1"/>
  <c r="S427" i="1"/>
  <c r="T256" i="1"/>
  <c r="T263" i="1" s="1"/>
  <c r="S263" i="1"/>
  <c r="T340" i="1"/>
  <c r="T360" i="1" s="1"/>
  <c r="S360" i="1"/>
  <c r="T8" i="1"/>
  <c r="T44" i="1" s="1"/>
  <c r="S44" i="1"/>
  <c r="P263" i="1"/>
  <c r="P360" i="1"/>
  <c r="P117" i="1"/>
  <c r="P62" i="1"/>
  <c r="Z44" i="1"/>
  <c r="Z243" i="1"/>
  <c r="P243" i="1"/>
  <c r="G105" i="1"/>
  <c r="H93" i="1"/>
  <c r="H145" i="1" s="1"/>
  <c r="I9" i="12" s="1"/>
  <c r="M29" i="9"/>
  <c r="H69" i="1"/>
  <c r="N69" i="1"/>
  <c r="O27" i="9"/>
  <c r="V479" i="1"/>
  <c r="AC326" i="1"/>
  <c r="AC327" i="1" s="1"/>
  <c r="P370" i="1"/>
  <c r="Z408" i="1"/>
  <c r="K470" i="1"/>
  <c r="K463" i="1"/>
  <c r="J399" i="1"/>
  <c r="J460" i="1" s="1"/>
  <c r="G117" i="1"/>
  <c r="Q470" i="1"/>
  <c r="P44" i="1"/>
  <c r="D34" i="9"/>
  <c r="N7" i="9"/>
  <c r="T23" i="11"/>
  <c r="I7" i="9"/>
  <c r="I19" i="9" s="1"/>
  <c r="L5" i="10"/>
  <c r="M23" i="11"/>
  <c r="V6" i="9"/>
  <c r="V19" i="9" s="1"/>
  <c r="Y5" i="10"/>
  <c r="T127" i="11"/>
  <c r="Q5" i="10"/>
  <c r="N6" i="9"/>
  <c r="X160" i="11"/>
  <c r="R15" i="9"/>
  <c r="Z219" i="11"/>
  <c r="Z229" i="11" s="1"/>
  <c r="W13" i="10" s="1"/>
  <c r="V204" i="11"/>
  <c r="V211" i="11" s="1"/>
  <c r="S11" i="10" s="1"/>
  <c r="L229" i="11"/>
  <c r="K13" i="10" s="1"/>
  <c r="F19" i="9"/>
  <c r="N13" i="11"/>
  <c r="M19" i="9"/>
  <c r="U227" i="11"/>
  <c r="AE211" i="11"/>
  <c r="T89" i="11"/>
  <c r="T48" i="11"/>
  <c r="Q8" i="10" s="1"/>
  <c r="W219" i="11"/>
  <c r="W229" i="11" s="1"/>
  <c r="T13" i="10" s="1"/>
  <c r="G219" i="11"/>
  <c r="G229" i="11" s="1"/>
  <c r="F229" i="11"/>
  <c r="E13" i="10" s="1"/>
  <c r="T157" i="11"/>
  <c r="M149" i="11"/>
  <c r="M151" i="11" s="1"/>
  <c r="AD149" i="11"/>
  <c r="AD151" i="11" s="1"/>
  <c r="X10" i="9"/>
  <c r="W48" i="11"/>
  <c r="T8" i="10" s="1"/>
  <c r="X177" i="11"/>
  <c r="X179" i="11" s="1"/>
  <c r="U179" i="11"/>
  <c r="P11" i="9"/>
  <c r="V48" i="11"/>
  <c r="S8" i="10" s="1"/>
  <c r="V13" i="10"/>
  <c r="N5" i="10"/>
  <c r="O23" i="11"/>
  <c r="G5" i="10"/>
  <c r="X215" i="11"/>
  <c r="X218" i="11" s="1"/>
  <c r="X219" i="11" s="1"/>
  <c r="X229" i="11" s="1"/>
  <c r="U13" i="10" s="1"/>
  <c r="U218" i="11"/>
  <c r="U219" i="11" s="1"/>
  <c r="T187" i="11"/>
  <c r="T166" i="11"/>
  <c r="T179" i="11"/>
  <c r="T227" i="11"/>
  <c r="M219" i="11"/>
  <c r="M229" i="11" s="1"/>
  <c r="L13" i="10" s="1"/>
  <c r="Q219" i="11"/>
  <c r="O218" i="11"/>
  <c r="O219" i="11" s="1"/>
  <c r="O229" i="11" s="1"/>
  <c r="N219" i="11"/>
  <c r="N229" i="11" s="1"/>
  <c r="H179" i="11"/>
  <c r="H204" i="11" s="1"/>
  <c r="H211" i="11" s="1"/>
  <c r="O43" i="11"/>
  <c r="R219" i="11"/>
  <c r="R229" i="11" s="1"/>
  <c r="L13" i="11"/>
  <c r="U187" i="11"/>
  <c r="U149" i="11"/>
  <c r="V229" i="11"/>
  <c r="AC229" i="11"/>
  <c r="S229" i="11"/>
  <c r="K229" i="11"/>
  <c r="J13" i="10" s="1"/>
  <c r="E229" i="11"/>
  <c r="T209" i="11"/>
  <c r="L204" i="11"/>
  <c r="G204" i="11"/>
  <c r="G211" i="11" s="1"/>
  <c r="F11" i="10" s="1"/>
  <c r="T149" i="11"/>
  <c r="O89" i="11"/>
  <c r="J11" i="9"/>
  <c r="K48" i="11"/>
  <c r="J8" i="10" s="1"/>
  <c r="AF23" i="11"/>
  <c r="AF151" i="11"/>
  <c r="AF211" i="11" s="1"/>
  <c r="AC11" i="10" s="1"/>
  <c r="R7" i="9"/>
  <c r="R19" i="9" s="1"/>
  <c r="U5" i="10"/>
  <c r="X23" i="11"/>
  <c r="W29" i="9"/>
  <c r="N13" i="10"/>
  <c r="M13" i="10"/>
  <c r="N9" i="9"/>
  <c r="O13" i="10"/>
  <c r="T202" i="11"/>
  <c r="G13" i="10"/>
  <c r="P29" i="9"/>
  <c r="Q299" i="1"/>
  <c r="Q7" i="9"/>
  <c r="Q19" i="9" s="1"/>
  <c r="W23" i="11"/>
  <c r="T5" i="10"/>
  <c r="X13" i="10"/>
  <c r="AA231" i="11"/>
  <c r="P13" i="10"/>
  <c r="F13" i="10"/>
  <c r="D13" i="10"/>
  <c r="H13" i="9"/>
  <c r="E13" i="9"/>
  <c r="N10" i="9"/>
  <c r="T175" i="11"/>
  <c r="G48" i="11"/>
  <c r="F8" i="10" s="1"/>
  <c r="E11" i="9"/>
  <c r="Q23" i="11"/>
  <c r="Z117" i="1"/>
  <c r="S35" i="11"/>
  <c r="S48" i="11" s="1"/>
  <c r="P8" i="10" s="1"/>
  <c r="Y6" i="9"/>
  <c r="AB5" i="10"/>
  <c r="Z6" i="12"/>
  <c r="Z18" i="12"/>
  <c r="M65" i="1"/>
  <c r="R192" i="1"/>
  <c r="S390" i="1"/>
  <c r="Z209" i="11"/>
  <c r="AD30" i="11"/>
  <c r="Z360" i="1"/>
  <c r="Y474" i="1"/>
  <c r="AF48" i="11"/>
  <c r="AC8" i="10" s="1"/>
  <c r="AA327" i="1"/>
  <c r="Y26" i="9" s="1"/>
  <c r="AB145" i="1"/>
  <c r="AA9" i="12" s="1"/>
  <c r="X5" i="10"/>
  <c r="X16" i="10" s="1"/>
  <c r="U6" i="9"/>
  <c r="U19" i="9" s="1"/>
  <c r="Y13" i="9"/>
  <c r="Z32" i="9"/>
  <c r="AA18" i="12"/>
  <c r="G299" i="1"/>
  <c r="O22" i="9"/>
  <c r="Z179" i="11"/>
  <c r="Z204" i="11" s="1"/>
  <c r="T13" i="9" s="1"/>
  <c r="U69" i="1"/>
  <c r="AB89" i="11"/>
  <c r="AB151" i="11" s="1"/>
  <c r="AC5" i="10"/>
  <c r="AA399" i="1"/>
  <c r="AA460" i="1" s="1"/>
  <c r="Y31" i="9"/>
  <c r="D35" i="9" l="1"/>
  <c r="Q11" i="9"/>
  <c r="X13" i="9"/>
  <c r="O11" i="9"/>
  <c r="Z70" i="1"/>
  <c r="Q22" i="9"/>
  <c r="S69" i="1"/>
  <c r="Q29" i="9" s="1"/>
  <c r="U26" i="9"/>
  <c r="G327" i="1"/>
  <c r="G26" i="9" s="1"/>
  <c r="Y460" i="1"/>
  <c r="W28" i="9" s="1"/>
  <c r="S474" i="1"/>
  <c r="S479" i="1" s="1"/>
  <c r="R15" i="12" s="1"/>
  <c r="V70" i="1"/>
  <c r="U6" i="12" s="1"/>
  <c r="F460" i="1"/>
  <c r="F28" i="9" s="1"/>
  <c r="X327" i="1"/>
  <c r="V26" i="9" s="1"/>
  <c r="S379" i="1"/>
  <c r="R62" i="1"/>
  <c r="R70" i="1" s="1"/>
  <c r="Q6" i="12" s="1"/>
  <c r="M479" i="1"/>
  <c r="P299" i="1"/>
  <c r="P327" i="1" s="1"/>
  <c r="G460" i="1"/>
  <c r="G28" i="9" s="1"/>
  <c r="G70" i="1"/>
  <c r="H6" i="12" s="1"/>
  <c r="O327" i="1"/>
  <c r="T93" i="1"/>
  <c r="M327" i="1"/>
  <c r="R145" i="1"/>
  <c r="Q9" i="12" s="1"/>
  <c r="U28" i="9"/>
  <c r="W471" i="1"/>
  <c r="V12" i="12" s="1"/>
  <c r="Y6" i="12"/>
  <c r="C29" i="9"/>
  <c r="K70" i="1"/>
  <c r="L6" i="12" s="1"/>
  <c r="Q27" i="9"/>
  <c r="Q399" i="1"/>
  <c r="Q460" i="1" s="1"/>
  <c r="O28" i="9" s="1"/>
  <c r="F145" i="1"/>
  <c r="G9" i="12" s="1"/>
  <c r="M399" i="1"/>
  <c r="M460" i="1" s="1"/>
  <c r="M25" i="9"/>
  <c r="Q230" i="1"/>
  <c r="E70" i="1"/>
  <c r="F6" i="12" s="1"/>
  <c r="R460" i="1"/>
  <c r="P28" i="9" s="1"/>
  <c r="Q25" i="9"/>
  <c r="I28" i="9"/>
  <c r="I471" i="1"/>
  <c r="J12" i="12" s="1"/>
  <c r="J21" i="12" s="1"/>
  <c r="P479" i="1"/>
  <c r="O15" i="12" s="1"/>
  <c r="V145" i="1"/>
  <c r="U9" i="12" s="1"/>
  <c r="K399" i="1"/>
  <c r="K460" i="1" s="1"/>
  <c r="K28" i="9" s="1"/>
  <c r="V399" i="1"/>
  <c r="V460" i="1" s="1"/>
  <c r="T28" i="9" s="1"/>
  <c r="N22" i="9"/>
  <c r="N471" i="1"/>
  <c r="M12" i="12" s="1"/>
  <c r="P399" i="1"/>
  <c r="P460" i="1" s="1"/>
  <c r="N28" i="9" s="1"/>
  <c r="L471" i="1"/>
  <c r="L485" i="1" s="1"/>
  <c r="R299" i="1"/>
  <c r="R327" i="1" s="1"/>
  <c r="Z399" i="1"/>
  <c r="V327" i="1"/>
  <c r="T26" i="9" s="1"/>
  <c r="K145" i="1"/>
  <c r="L9" i="12" s="1"/>
  <c r="T151" i="11"/>
  <c r="N12" i="9" s="1"/>
  <c r="U48" i="11"/>
  <c r="R8" i="10" s="1"/>
  <c r="O16" i="10"/>
  <c r="AD48" i="11"/>
  <c r="AA8" i="10" s="1"/>
  <c r="Z13" i="10"/>
  <c r="X25" i="11"/>
  <c r="X30" i="11" s="1"/>
  <c r="T213" i="11"/>
  <c r="T219" i="11" s="1"/>
  <c r="M48" i="11"/>
  <c r="L8" i="10" s="1"/>
  <c r="N19" i="9"/>
  <c r="N211" i="11"/>
  <c r="M11" i="10" s="1"/>
  <c r="Q48" i="11"/>
  <c r="Q204" i="11"/>
  <c r="Q211" i="11" s="1"/>
  <c r="Q231" i="11" s="1"/>
  <c r="U89" i="11"/>
  <c r="U151" i="11" s="1"/>
  <c r="O12" i="9" s="1"/>
  <c r="F13" i="9"/>
  <c r="L211" i="11"/>
  <c r="O48" i="11"/>
  <c r="N8" i="10" s="1"/>
  <c r="Q229" i="11"/>
  <c r="X204" i="11"/>
  <c r="X211" i="11" s="1"/>
  <c r="U11" i="10" s="1"/>
  <c r="AD211" i="11"/>
  <c r="E211" i="11"/>
  <c r="Z12" i="9"/>
  <c r="S211" i="11"/>
  <c r="P11" i="10" s="1"/>
  <c r="P16" i="10" s="1"/>
  <c r="AC211" i="11"/>
  <c r="Z11" i="10" s="1"/>
  <c r="Z16" i="10" s="1"/>
  <c r="R13" i="9"/>
  <c r="G11" i="10"/>
  <c r="G16" i="10" s="1"/>
  <c r="H231" i="11"/>
  <c r="G13" i="9"/>
  <c r="K211" i="11"/>
  <c r="R11" i="9"/>
  <c r="F16" i="10"/>
  <c r="L13" i="9"/>
  <c r="K11" i="9"/>
  <c r="W13" i="9"/>
  <c r="P13" i="9"/>
  <c r="F35" i="9"/>
  <c r="N27" i="9"/>
  <c r="K327" i="1"/>
  <c r="K26" i="9" s="1"/>
  <c r="Y48" i="11"/>
  <c r="S11" i="9"/>
  <c r="D12" i="9"/>
  <c r="F211" i="11"/>
  <c r="W204" i="11"/>
  <c r="O460" i="1"/>
  <c r="M28" i="9" s="1"/>
  <c r="P231" i="11"/>
  <c r="Y479" i="1"/>
  <c r="X15" i="12" s="1"/>
  <c r="Z145" i="1"/>
  <c r="Y9" i="12" s="1"/>
  <c r="O151" i="11"/>
  <c r="U229" i="11"/>
  <c r="R13" i="10" s="1"/>
  <c r="S16" i="10"/>
  <c r="F70" i="1"/>
  <c r="G6" i="12" s="1"/>
  <c r="C471" i="1"/>
  <c r="D12" i="12" s="1"/>
  <c r="O204" i="11"/>
  <c r="K13" i="9" s="1"/>
  <c r="T7" i="9"/>
  <c r="T19" i="9" s="1"/>
  <c r="Z23" i="11"/>
  <c r="N11" i="9"/>
  <c r="U204" i="11"/>
  <c r="W5" i="10"/>
  <c r="Z460" i="1"/>
  <c r="X28" i="9" s="1"/>
  <c r="M70" i="1"/>
  <c r="H327" i="1"/>
  <c r="H26" i="9" s="1"/>
  <c r="Q145" i="1"/>
  <c r="P9" i="12" s="1"/>
  <c r="U471" i="1"/>
  <c r="T12" i="12" s="1"/>
  <c r="R25" i="9"/>
  <c r="Y145" i="1"/>
  <c r="X9" i="12" s="1"/>
  <c r="Y327" i="1"/>
  <c r="W26" i="9" s="1"/>
  <c r="M145" i="1"/>
  <c r="D471" i="1"/>
  <c r="E12" i="12" s="1"/>
  <c r="T105" i="1"/>
  <c r="P145" i="1"/>
  <c r="O9" i="12" s="1"/>
  <c r="AB471" i="1"/>
  <c r="AA12" i="12" s="1"/>
  <c r="AA21" i="12" s="1"/>
  <c r="S145" i="1"/>
  <c r="R9" i="12" s="1"/>
  <c r="O44" i="1"/>
  <c r="O70" i="1" s="1"/>
  <c r="N6" i="12" s="1"/>
  <c r="Q37" i="1"/>
  <c r="Q44" i="1" s="1"/>
  <c r="Q70" i="1" s="1"/>
  <c r="P6" i="12" s="1"/>
  <c r="T394" i="1"/>
  <c r="T398" i="1" s="1"/>
  <c r="T399" i="1" s="1"/>
  <c r="T460" i="1" s="1"/>
  <c r="R28" i="9" s="1"/>
  <c r="S398" i="1"/>
  <c r="S399" i="1" s="1"/>
  <c r="S153" i="1"/>
  <c r="S327" i="1" s="1"/>
  <c r="T70" i="1"/>
  <c r="S6" i="12" s="1"/>
  <c r="Z26" i="9"/>
  <c r="S70" i="1"/>
  <c r="R6" i="12" s="1"/>
  <c r="R22" i="9"/>
  <c r="P70" i="1"/>
  <c r="O6" i="12" s="1"/>
  <c r="Z327" i="1"/>
  <c r="X26" i="9" s="1"/>
  <c r="E23" i="9"/>
  <c r="E34" i="9" s="1"/>
  <c r="E35" i="9" s="1"/>
  <c r="D23" i="9"/>
  <c r="E9" i="12"/>
  <c r="T327" i="1"/>
  <c r="G145" i="1"/>
  <c r="H9" i="12" s="1"/>
  <c r="E28" i="9"/>
  <c r="E471" i="1"/>
  <c r="F12" i="12" s="1"/>
  <c r="C479" i="1"/>
  <c r="C23" i="9"/>
  <c r="C34" i="9" s="1"/>
  <c r="C35" i="9" s="1"/>
  <c r="U15" i="12"/>
  <c r="H70" i="1"/>
  <c r="I6" i="12" s="1"/>
  <c r="H29" i="9"/>
  <c r="J28" i="9"/>
  <c r="J471" i="1"/>
  <c r="N70" i="1"/>
  <c r="L29" i="9"/>
  <c r="V6" i="12"/>
  <c r="N23" i="11"/>
  <c r="N231" i="11" s="1"/>
  <c r="M5" i="10"/>
  <c r="M16" i="10" s="1"/>
  <c r="J7" i="9"/>
  <c r="J19" i="9" s="1"/>
  <c r="X12" i="9"/>
  <c r="I12" i="9"/>
  <c r="M211" i="11"/>
  <c r="O211" i="11"/>
  <c r="N11" i="10" s="1"/>
  <c r="K12" i="9"/>
  <c r="O13" i="9"/>
  <c r="H7" i="9"/>
  <c r="H19" i="9" s="1"/>
  <c r="L23" i="11"/>
  <c r="L231" i="11" s="1"/>
  <c r="K5" i="10"/>
  <c r="T229" i="11"/>
  <c r="Q13" i="10" s="1"/>
  <c r="S13" i="10"/>
  <c r="V231" i="11"/>
  <c r="AC16" i="10"/>
  <c r="G231" i="11"/>
  <c r="X48" i="11"/>
  <c r="U8" i="10" s="1"/>
  <c r="U70" i="1"/>
  <c r="S29" i="9"/>
  <c r="AB211" i="11"/>
  <c r="V12" i="9"/>
  <c r="Z15" i="12"/>
  <c r="K11" i="10"/>
  <c r="AA11" i="10"/>
  <c r="AD231" i="11"/>
  <c r="AA16" i="10"/>
  <c r="Z211" i="11"/>
  <c r="AF231" i="11"/>
  <c r="T204" i="11"/>
  <c r="Y28" i="9"/>
  <c r="AA471" i="1"/>
  <c r="Z12" i="12" s="1"/>
  <c r="AB11" i="10"/>
  <c r="AB16" i="10" s="1"/>
  <c r="AE231" i="11"/>
  <c r="AC471" i="1"/>
  <c r="AC485" i="1" s="1"/>
  <c r="AA23" i="9" s="1"/>
  <c r="AA34" i="9" s="1"/>
  <c r="U11" i="9"/>
  <c r="R231" i="11"/>
  <c r="X11" i="9" l="1"/>
  <c r="X19" i="9" s="1"/>
  <c r="F471" i="1"/>
  <c r="G12" i="12" s="1"/>
  <c r="G21" i="12" s="1"/>
  <c r="R27" i="9"/>
  <c r="X471" i="1"/>
  <c r="X485" i="1" s="1"/>
  <c r="V23" i="9" s="1"/>
  <c r="V34" i="9" s="1"/>
  <c r="V35" i="9" s="1"/>
  <c r="V21" i="12"/>
  <c r="Y471" i="1"/>
  <c r="X12" i="12" s="1"/>
  <c r="S460" i="1"/>
  <c r="Q28" i="9" s="1"/>
  <c r="I485" i="1"/>
  <c r="I23" i="9" s="1"/>
  <c r="I34" i="9" s="1"/>
  <c r="I35" i="9" s="1"/>
  <c r="M471" i="1"/>
  <c r="M485" i="1" s="1"/>
  <c r="M26" i="9"/>
  <c r="H471" i="1"/>
  <c r="I12" i="12" s="1"/>
  <c r="I21" i="12" s="1"/>
  <c r="G471" i="1"/>
  <c r="G485" i="1" s="1"/>
  <c r="G23" i="9" s="1"/>
  <c r="G34" i="9" s="1"/>
  <c r="G35" i="9" s="1"/>
  <c r="Q26" i="9"/>
  <c r="T145" i="1"/>
  <c r="S9" i="12" s="1"/>
  <c r="W485" i="1"/>
  <c r="U23" i="9" s="1"/>
  <c r="U34" i="9" s="1"/>
  <c r="U35" i="9" s="1"/>
  <c r="R26" i="9"/>
  <c r="F23" i="9"/>
  <c r="X21" i="12"/>
  <c r="Q243" i="1"/>
  <c r="Q327" i="1" s="1"/>
  <c r="Q471" i="1" s="1"/>
  <c r="Q485" i="1" s="1"/>
  <c r="O25" i="9"/>
  <c r="E485" i="1"/>
  <c r="Y485" i="1"/>
  <c r="W23" i="9" s="1"/>
  <c r="W34" i="9" s="1"/>
  <c r="W35" i="9" s="1"/>
  <c r="F21" i="12"/>
  <c r="P26" i="9"/>
  <c r="R471" i="1"/>
  <c r="R485" i="1" s="1"/>
  <c r="AB485" i="1"/>
  <c r="Z23" i="9" s="1"/>
  <c r="Z34" i="9" s="1"/>
  <c r="V471" i="1"/>
  <c r="N16" i="10"/>
  <c r="S231" i="11"/>
  <c r="D11" i="10"/>
  <c r="D16" i="10" s="1"/>
  <c r="E231" i="11"/>
  <c r="U211" i="11"/>
  <c r="U231" i="11" s="1"/>
  <c r="AC231" i="11"/>
  <c r="W11" i="9" s="1"/>
  <c r="U16" i="10"/>
  <c r="E11" i="10"/>
  <c r="E16" i="10" s="1"/>
  <c r="F231" i="11"/>
  <c r="K471" i="1"/>
  <c r="L12" i="12" s="1"/>
  <c r="L21" i="12" s="1"/>
  <c r="O231" i="11"/>
  <c r="E21" i="12"/>
  <c r="O471" i="1"/>
  <c r="N12" i="12" s="1"/>
  <c r="N21" i="12" s="1"/>
  <c r="Q13" i="9"/>
  <c r="W211" i="11"/>
  <c r="V8" i="10"/>
  <c r="V16" i="10" s="1"/>
  <c r="Y231" i="11"/>
  <c r="J11" i="10"/>
  <c r="J16" i="10" s="1"/>
  <c r="K231" i="11"/>
  <c r="Z11" i="9"/>
  <c r="Z19" i="9" s="1"/>
  <c r="Y11" i="9"/>
  <c r="Y19" i="9" s="1"/>
  <c r="X231" i="11"/>
  <c r="K16" i="10"/>
  <c r="D485" i="1"/>
  <c r="Z471" i="1"/>
  <c r="Z21" i="12"/>
  <c r="T471" i="1"/>
  <c r="D15" i="12"/>
  <c r="D21" i="12" s="1"/>
  <c r="C485" i="1"/>
  <c r="N26" i="9"/>
  <c r="P471" i="1"/>
  <c r="M6" i="12"/>
  <c r="M21" i="12" s="1"/>
  <c r="N485" i="1"/>
  <c r="L23" i="9" s="1"/>
  <c r="L34" i="9" s="1"/>
  <c r="L35" i="9" s="1"/>
  <c r="K12" i="12"/>
  <c r="K21" i="12" s="1"/>
  <c r="J485" i="1"/>
  <c r="J23" i="9" s="1"/>
  <c r="J34" i="9" s="1"/>
  <c r="J35" i="9" s="1"/>
  <c r="L11" i="10"/>
  <c r="L16" i="10" s="1"/>
  <c r="M231" i="11"/>
  <c r="R11" i="10"/>
  <c r="R16" i="10" s="1"/>
  <c r="N13" i="9"/>
  <c r="T211" i="11"/>
  <c r="W11" i="10"/>
  <c r="W16" i="10" s="1"/>
  <c r="Z231" i="11"/>
  <c r="Y11" i="10"/>
  <c r="Y16" i="10" s="1"/>
  <c r="AB231" i="11"/>
  <c r="V11" i="9" s="1"/>
  <c r="U485" i="1"/>
  <c r="S23" i="9" s="1"/>
  <c r="S34" i="9" s="1"/>
  <c r="S35" i="9" s="1"/>
  <c r="T6" i="12"/>
  <c r="T21" i="12" s="1"/>
  <c r="AA485" i="1"/>
  <c r="F485" i="1" l="1"/>
  <c r="H12" i="12"/>
  <c r="H21" i="12" s="1"/>
  <c r="W12" i="12"/>
  <c r="W21" i="12" s="1"/>
  <c r="K485" i="1"/>
  <c r="K23" i="9" s="1"/>
  <c r="K34" i="9" s="1"/>
  <c r="K35" i="9" s="1"/>
  <c r="S471" i="1"/>
  <c r="S485" i="1" s="1"/>
  <c r="Q23" i="9" s="1"/>
  <c r="Q34" i="9" s="1"/>
  <c r="Q35" i="9" s="1"/>
  <c r="T485" i="1"/>
  <c r="R23" i="9" s="1"/>
  <c r="R34" i="9" s="1"/>
  <c r="R35" i="9" s="1"/>
  <c r="S12" i="12"/>
  <c r="S21" i="12" s="1"/>
  <c r="O485" i="1"/>
  <c r="M23" i="9" s="1"/>
  <c r="M34" i="9" s="1"/>
  <c r="M35" i="9" s="1"/>
  <c r="H485" i="1"/>
  <c r="H23" i="9" s="1"/>
  <c r="H34" i="9" s="1"/>
  <c r="H35" i="9" s="1"/>
  <c r="Q12" i="12"/>
  <c r="Q21" i="12" s="1"/>
  <c r="P12" i="12"/>
  <c r="P21" i="12" s="1"/>
  <c r="P23" i="9"/>
  <c r="P34" i="9" s="1"/>
  <c r="P35" i="9" s="1"/>
  <c r="O26" i="9"/>
  <c r="O23" i="9" s="1"/>
  <c r="O34" i="9" s="1"/>
  <c r="O35" i="9" s="1"/>
  <c r="U12" i="12"/>
  <c r="U21" i="12" s="1"/>
  <c r="V485" i="1"/>
  <c r="T23" i="9" s="1"/>
  <c r="T34" i="9" s="1"/>
  <c r="T35" i="9" s="1"/>
  <c r="T11" i="10"/>
  <c r="T16" i="10" s="1"/>
  <c r="W231" i="11"/>
  <c r="Z35" i="9"/>
  <c r="Y23" i="9"/>
  <c r="Y34" i="9" s="1"/>
  <c r="Y35" i="9" s="1"/>
  <c r="Z485" i="1"/>
  <c r="X23" i="9" s="1"/>
  <c r="X34" i="9" s="1"/>
  <c r="X35" i="9" s="1"/>
  <c r="Y12" i="12"/>
  <c r="Y21" i="12" s="1"/>
  <c r="O12" i="12"/>
  <c r="O21" i="12" s="1"/>
  <c r="P485" i="1"/>
  <c r="N23" i="9" s="1"/>
  <c r="N34" i="9" s="1"/>
  <c r="N35" i="9" s="1"/>
  <c r="Q11" i="10"/>
  <c r="Q16" i="10" s="1"/>
  <c r="T231" i="11"/>
  <c r="R12" i="12" l="1"/>
  <c r="R21" i="12" s="1"/>
</calcChain>
</file>

<file path=xl/sharedStrings.xml><?xml version="1.0" encoding="utf-8"?>
<sst xmlns="http://schemas.openxmlformats.org/spreadsheetml/2006/main" count="939" uniqueCount="724">
  <si>
    <t>מספר הסעיף</t>
  </si>
  <si>
    <t>שם הסעיף</t>
  </si>
  <si>
    <t>סה"כ מנהל כללי</t>
  </si>
  <si>
    <t>סה"כ שמירה ובטחון</t>
  </si>
  <si>
    <t>סה"כ תכנון ובנין עיר</t>
  </si>
  <si>
    <t>סה"כ חינוך יסודי</t>
  </si>
  <si>
    <t>סה"כ חינוך</t>
  </si>
  <si>
    <t>סה"כ שרותים לזקן</t>
  </si>
  <si>
    <t>סה"כ שרותי תקון</t>
  </si>
  <si>
    <t>סה"כ רווחה</t>
  </si>
  <si>
    <t>סה"כ מים</t>
  </si>
  <si>
    <t>סה"כ מפעלים</t>
  </si>
  <si>
    <t>סה"כ תשלומים</t>
  </si>
  <si>
    <t>סה"כ תברואה</t>
  </si>
  <si>
    <t>מזכירות/השכר הקובע</t>
  </si>
  <si>
    <t>מזכירות/השתלמויות</t>
  </si>
  <si>
    <t>מזכירות/הוצ' משרדיות</t>
  </si>
  <si>
    <t>הנהלת הגזברות/השכר הקובע</t>
  </si>
  <si>
    <t>הנהלת הגזברות/תקשורת</t>
  </si>
  <si>
    <t>הנהלת הגזברות/משרדיות</t>
  </si>
  <si>
    <t>גבית ארנונות/השכר הקובע</t>
  </si>
  <si>
    <t>גבית ארנונות/דואר וטלפון</t>
  </si>
  <si>
    <t>גבית ארנונות/משרדיות</t>
  </si>
  <si>
    <t>סה"כ מנהל כספי</t>
  </si>
  <si>
    <t>סה"כ הוצאות מימון</t>
  </si>
  <si>
    <t>סה"כ פרעון מלוות</t>
  </si>
  <si>
    <t>סה"כ הנהלה כללית</t>
  </si>
  <si>
    <t>משרד מהנדס/השכר הקובע</t>
  </si>
  <si>
    <t>משרד מהנדס/הוצאות משרדיו</t>
  </si>
  <si>
    <t>סה"כ שרותים מקומיים</t>
  </si>
  <si>
    <t>מנהל החינוך/השכר הקובע</t>
  </si>
  <si>
    <t>מנהל החינוך/השתלמויות</t>
  </si>
  <si>
    <t>מנהל החינוך/דואר וטלפון</t>
  </si>
  <si>
    <t>מנהל החינוך/הוצ' משרדיות</t>
  </si>
  <si>
    <t>גני ילדים גיל חו/ השכר הקובע</t>
  </si>
  <si>
    <t>סה"כ תרבות</t>
  </si>
  <si>
    <t>תחנות אם וילד/השכר הקובע</t>
  </si>
  <si>
    <t>מינהל הרווחה/השכר הקובע</t>
  </si>
  <si>
    <t>סה"כ שרותים ממלכתיים</t>
  </si>
  <si>
    <t xml:space="preserve">ריבית </t>
  </si>
  <si>
    <t>עמלות</t>
  </si>
  <si>
    <t>אסוף אשפה</t>
  </si>
  <si>
    <t>הנהלת הרשות/השכר הקובע</t>
  </si>
  <si>
    <t>הנהלת הרשות/החזר הוצאות</t>
  </si>
  <si>
    <t>משרד מהנדס/הוצאות תקשורת</t>
  </si>
  <si>
    <t>משרד מהנדס/ קבלניות</t>
  </si>
  <si>
    <t>מועצת הרשות/חשמל</t>
  </si>
  <si>
    <t>מועצת הרשות/מים</t>
  </si>
  <si>
    <t>מועצת הרשות/חומרי ניקיון</t>
  </si>
  <si>
    <t>מועצת הרשות/ביטוח</t>
  </si>
  <si>
    <t>מועצת הרשות/אירוח וכיבוד</t>
  </si>
  <si>
    <t>מועצת הרשות/השתלמויות</t>
  </si>
  <si>
    <t>מועצת הרשות/שונות</t>
  </si>
  <si>
    <t>מזכירות/הוצאות תק</t>
  </si>
  <si>
    <t>מנגנון/השכר הקובע</t>
  </si>
  <si>
    <t>מנגנון/השתלמויות</t>
  </si>
  <si>
    <t>הנהלת חשבונות/השכר הקובע</t>
  </si>
  <si>
    <t>גבית ארנונות/השתלמויות</t>
  </si>
  <si>
    <t>מינהל תברואה/השכר הקובע</t>
  </si>
  <si>
    <t>מינהל תברואה/שכר דירה</t>
  </si>
  <si>
    <t>מינהל תברואה/הוצאות שונות</t>
  </si>
  <si>
    <t>פיקוח תברואה כללי/השכר הק</t>
  </si>
  <si>
    <t>פיקוח וטרינארי/השכר הקובע</t>
  </si>
  <si>
    <t>פיקוח וטרינארי/הוצאות שונות</t>
  </si>
  <si>
    <t>הדברת מזיקים/כלים מכשיר</t>
  </si>
  <si>
    <t>הדברת מזיקים/עבודות קבל</t>
  </si>
  <si>
    <t>משרד מהנדס/כלים מכשיר</t>
  </si>
  <si>
    <t>משרד מהנדס/הוצאות שונו</t>
  </si>
  <si>
    <t>רשיונות בניה/ הוצאות שונות</t>
  </si>
  <si>
    <t>תכנון כללי/עבודות קבלניות</t>
  </si>
  <si>
    <t>אחזקת כבישים פני/השכר הק</t>
  </si>
  <si>
    <t>סה"כ דרכים ומדרכות</t>
  </si>
  <si>
    <t>תאורות רחובות- עבודות קבל</t>
  </si>
  <si>
    <t>תאורות רחובות- חשמל לפעול</t>
  </si>
  <si>
    <t>תיעול וניקוז/ חומרים</t>
  </si>
  <si>
    <t>גני ילדים גיל ח/חומרים</t>
  </si>
  <si>
    <t>גני ילדים גיל ח/כלים מכשיר</t>
  </si>
  <si>
    <t>גני ילדים גיל ח/שונות</t>
  </si>
  <si>
    <t>גני ילדים טרוםח/ השכר הקוב</t>
  </si>
  <si>
    <t>גני ילדים טרוםח/ שכר דירה</t>
  </si>
  <si>
    <t>גני ילדים טרוםח/ חשמל</t>
  </si>
  <si>
    <t>גני ילדים טרוםח/ חומרי נקיון</t>
  </si>
  <si>
    <t>גני ילדים טרוםח/ הוצאות תק</t>
  </si>
  <si>
    <t>גני ילדים טרוםח/ משרדיות</t>
  </si>
  <si>
    <t>גני ילדים טרוםח/ חומרים</t>
  </si>
  <si>
    <t>גני ילדים טרוםח/ כלים מכשיר</t>
  </si>
  <si>
    <t>גני ילדים טרוםח/ הוצ' שונות</t>
  </si>
  <si>
    <t>בתי"ס יסודיים/השכר הקובע</t>
  </si>
  <si>
    <t>בתי"ס יסודיים/ביטוח</t>
  </si>
  <si>
    <t>בתי"ס יסודיים/הוצ' שונות</t>
  </si>
  <si>
    <t>חינוך מיוחד/השכר הקובע</t>
  </si>
  <si>
    <t>חינוך מיוחד/הוצ' שונות</t>
  </si>
  <si>
    <t>חוות חקלאיות/השכר הקובע</t>
  </si>
  <si>
    <t>חוות חקלאיות/שכ"ד</t>
  </si>
  <si>
    <t>חוות חקלאיות/תקשורת</t>
  </si>
  <si>
    <t>חוות חקלאיות/חומרים</t>
  </si>
  <si>
    <t>חוות חקלאיות/שונות</t>
  </si>
  <si>
    <t>סה"כ חינוך  קדם יסודי</t>
  </si>
  <si>
    <t>חטיבות ביניים/קבלניות</t>
  </si>
  <si>
    <t>חטיבות ביניים/חשמל</t>
  </si>
  <si>
    <t>חטיבות ביניים/מים</t>
  </si>
  <si>
    <t>חטיבות ביניים/ביטוח</t>
  </si>
  <si>
    <t>חטיבות ביניים/תקשורת</t>
  </si>
  <si>
    <t>חטיבות ביניים/משרדיות</t>
  </si>
  <si>
    <t>חטיבות ביניים/חומרים</t>
  </si>
  <si>
    <t>חטיבות ביניים/עבודות קבל</t>
  </si>
  <si>
    <t>חטיבות ביניים/שונות</t>
  </si>
  <si>
    <t>סה"כ חטיבות ביניים</t>
  </si>
  <si>
    <t>בתי"ס על יסודיים/עבודות קבל</t>
  </si>
  <si>
    <t>בתי"ס על יסודיים/חשמל</t>
  </si>
  <si>
    <t>בתי"ס על יסודיים/מים</t>
  </si>
  <si>
    <t>בתי"ס על יסודיים/ביטוח</t>
  </si>
  <si>
    <t>בתי"ס על יסודיים/תקשורת</t>
  </si>
  <si>
    <t>בתי"ס על יסודיים/משרדיות</t>
  </si>
  <si>
    <t>בתי"ס על יסודיים/חומרים</t>
  </si>
  <si>
    <t>בתי"ס על יסודיים/הוצ' שונות</t>
  </si>
  <si>
    <t>סה"כ בתי"ס על יסודיים מקי</t>
  </si>
  <si>
    <t>קרן מילגות עירונ/הקצבות בה</t>
  </si>
  <si>
    <t>סה"כ קרן מילגות עירונית</t>
  </si>
  <si>
    <t>מרכזיה פדגוגית/שכ"ד</t>
  </si>
  <si>
    <t>מרכזיה פדגוגית/חשמל</t>
  </si>
  <si>
    <t>מרכזיה פדגוגית/הוצ' תקשורת</t>
  </si>
  <si>
    <t>מרכזיה פדגוגית/שונות</t>
  </si>
  <si>
    <t>שרות פסיכולוגי/השכר הקובע</t>
  </si>
  <si>
    <t>שרות פסיכולוגי/שכ"ד</t>
  </si>
  <si>
    <t>שרות פסיכולוגי/חשמל</t>
  </si>
  <si>
    <t>שרות פסיכולוגי/השתלמויות</t>
  </si>
  <si>
    <t>שרות פסיכולוגי/הוצ' תקשורת</t>
  </si>
  <si>
    <t>בטוח תלמידים/ביטוח</t>
  </si>
  <si>
    <t>קב"סים/השכר הקובע</t>
  </si>
  <si>
    <t>הסעות ילדים/עבודות קבל</t>
  </si>
  <si>
    <t>סה"כ שרותים נוספים</t>
  </si>
  <si>
    <t>סה"כ  מינהל החינוך</t>
  </si>
  <si>
    <t>ספריות עירוניות/השכר הקובע</t>
  </si>
  <si>
    <t>ספריות עירוניות/תקשורת</t>
  </si>
  <si>
    <t>מתנ"סים/הוצ' שונות</t>
  </si>
  <si>
    <t>מתנ"סים/השתתפויות</t>
  </si>
  <si>
    <t>מוקדי הפעלת הנוער/שכ"ד</t>
  </si>
  <si>
    <t>מוקדי הפעלת הנוער/חשמל</t>
  </si>
  <si>
    <t>מוקדי הפעלת הנוער/תקשורת</t>
  </si>
  <si>
    <t>מוקדי הפעלת הנוער/חומרים</t>
  </si>
  <si>
    <t>מוקדי הפעלת הנוער/שונות</t>
  </si>
  <si>
    <t>מינהל הספורט/השכר הקובע</t>
  </si>
  <si>
    <t>מתקני ספורט/מים</t>
  </si>
  <si>
    <t>מתקני ספורט/תקשורת</t>
  </si>
  <si>
    <t>מתקני ספורט/חומרים</t>
  </si>
  <si>
    <t>מתקני ספורט/כלים</t>
  </si>
  <si>
    <t>מתקני ספורט/שונות</t>
  </si>
  <si>
    <t>מתקני ספורט/קבלניות</t>
  </si>
  <si>
    <t>פעולות ספורט/שונות</t>
  </si>
  <si>
    <t>מרפאות שיניים/השכר הקובע</t>
  </si>
  <si>
    <t>תחנות אם וילד/שכ"ד</t>
  </si>
  <si>
    <t>תחנות אם וילד/חשמל</t>
  </si>
  <si>
    <t>תחנות אם וילד/מים</t>
  </si>
  <si>
    <t>תחנות אם וילד/תקשורת</t>
  </si>
  <si>
    <t>תחנות אם וילד/הוצ' שונות</t>
  </si>
  <si>
    <t>מינהל הרווחה/שכ"ד</t>
  </si>
  <si>
    <t>מינהל הרווחה/חשמל</t>
  </si>
  <si>
    <t>מינהל הרווחה/מים</t>
  </si>
  <si>
    <t>מינהל הרווחה/השתלמויות</t>
  </si>
  <si>
    <t>מינהל הרווחה/תקשורת</t>
  </si>
  <si>
    <t>מינהל הרווחה/משרדיות</t>
  </si>
  <si>
    <t>מינהל הרווחה/שונות</t>
  </si>
  <si>
    <t>סה"כ מינהל הרווחה</t>
  </si>
  <si>
    <t>צרכים מיוחדים/תמיכות רוו</t>
  </si>
  <si>
    <t>סה"כ צרכים מיוחדים</t>
  </si>
  <si>
    <t>פעולות קהילתיות/תמיכות רווח</t>
  </si>
  <si>
    <t>סה"כ פעולות קהילתיות</t>
  </si>
  <si>
    <t>אחזקת ילדים בפני/תמיכות ר</t>
  </si>
  <si>
    <t>סה"כ אחזקת ילדים</t>
  </si>
  <si>
    <t>סה"כ שרותים לילד ונוער</t>
  </si>
  <si>
    <t>שרותים לזקן קהי/הוצ' שונות</t>
  </si>
  <si>
    <t>שרותים לזקן קהי/תמיכות רוו</t>
  </si>
  <si>
    <t>סידור מפגרים במו/תמיכות רוו</t>
  </si>
  <si>
    <t>סידור מפגרים במס/מים</t>
  </si>
  <si>
    <t>סידור מפגרים במס/הוצ' רכב</t>
  </si>
  <si>
    <t>סידור מפגרים במס/תקשורת</t>
  </si>
  <si>
    <t>סידור מפגרים במס/חומרים</t>
  </si>
  <si>
    <t>שרותים למפגר קהי/תמיכות רו</t>
  </si>
  <si>
    <t>סידור מפגרים במס/כלים מכשי</t>
  </si>
  <si>
    <t>סידור מפגרים במס/שונו</t>
  </si>
  <si>
    <t>סה"כ שרותים למפגר</t>
  </si>
  <si>
    <t>טיפול בעיוור בקה/תמיכות רוו</t>
  </si>
  <si>
    <t>נכים אחזקה במסגר/תמיכות ר</t>
  </si>
  <si>
    <t>נכים טיפול בקהיל/שכ"ד</t>
  </si>
  <si>
    <t>נכים טיפול בקהיל/תמיכות רוו</t>
  </si>
  <si>
    <t>נכים שיקום במפעל/שכ"ד</t>
  </si>
  <si>
    <t>נכים שיקום במפעל/הוצ' תקש</t>
  </si>
  <si>
    <t>נכים שיקום במפעל/תמיכות רו</t>
  </si>
  <si>
    <t>סה"כ שרותי שיקום</t>
  </si>
  <si>
    <t>סמים/השכר הקובע</t>
  </si>
  <si>
    <t>סמים/תקשורת</t>
  </si>
  <si>
    <t>סמים/פרסום</t>
  </si>
  <si>
    <t>מפתנים/השכר הקובע</t>
  </si>
  <si>
    <t>מפתנים/שכ"ד</t>
  </si>
  <si>
    <t>מפתנים/הוצ' תקשורת</t>
  </si>
  <si>
    <t>מפתנים/משרדיות</t>
  </si>
  <si>
    <t>מפתנים/חומרים</t>
  </si>
  <si>
    <t>מפתנים/הוצ' שונות</t>
  </si>
  <si>
    <t>מרכזים קהילתיים/הוצ' שונו</t>
  </si>
  <si>
    <t>שרותי דת למוסלמי/חשמל</t>
  </si>
  <si>
    <t>שרותי דת למוסלמי/מים</t>
  </si>
  <si>
    <t>סה"כ שרותי דת למוסלמי</t>
  </si>
  <si>
    <t>איכות הסביבה</t>
  </si>
  <si>
    <t>סה"כ  איכות הסביבה</t>
  </si>
  <si>
    <t>מינהל המים/השכר הקובע</t>
  </si>
  <si>
    <t>הנחות ממיסים לפי/ הנחות</t>
  </si>
  <si>
    <t>מועצת הרשות/רכישת מתנות</t>
  </si>
  <si>
    <t>מועצת הרשות/פרסום</t>
  </si>
  <si>
    <t>גבית ארנונות/הוצ' שונות</t>
  </si>
  <si>
    <t>פיקוח וטרינארי/השתלמות</t>
  </si>
  <si>
    <t>עבודות ניקוז קבלניות</t>
  </si>
  <si>
    <t>מנהל החינוך/אירוח וכיבוד</t>
  </si>
  <si>
    <t>גני ילדים גיל חו/ הוצ' משרדיו</t>
  </si>
  <si>
    <t>גני ילדים גיל חובה/ משכורות</t>
  </si>
  <si>
    <t>גני ילדים טרוםח/ מים</t>
  </si>
  <si>
    <t>בתי"ס יסודיים/משכורות</t>
  </si>
  <si>
    <t>חוות חקלאיות/עבודות קבל</t>
  </si>
  <si>
    <t>בתי"ס על יסודיים/שונות</t>
  </si>
  <si>
    <t>שרות פסיכולוגי/הוצ' שונות</t>
  </si>
  <si>
    <t>מינהל הנוער/הוצ' שונות</t>
  </si>
  <si>
    <t>מינהל הספורט/השתלמויות</t>
  </si>
  <si>
    <t>מרפאות שיניים/חומרים</t>
  </si>
  <si>
    <t>מרפאות שיניים/ע. קבלניות</t>
  </si>
  <si>
    <t>פעולות קהילתיות/הוצ' אחרות</t>
  </si>
  <si>
    <t>סידור מפגרים במס/עבודות קב</t>
  </si>
  <si>
    <t>נכים טיפול בקהיל/הוצ' שונות</t>
  </si>
  <si>
    <t>איכות הסביבה/אחזקת רכב</t>
  </si>
  <si>
    <t>איכות הסביבה/שכ"ד</t>
  </si>
  <si>
    <t>איכות הסביבה/תקשורת</t>
  </si>
  <si>
    <t>איכות הסביבה/ציוד משרדי</t>
  </si>
  <si>
    <t>איכות הסביבה/שונות</t>
  </si>
  <si>
    <t>חינוך משלים בבתי/השכר הקו</t>
  </si>
  <si>
    <t>מועצת הרשות/ספרים ועיתונים</t>
  </si>
  <si>
    <t>תשלומים/שכר קופאי</t>
  </si>
  <si>
    <t>פרעון מלוות לפר/ תשלומים ריבית</t>
  </si>
  <si>
    <t>פרעון מלוות לפר/ תשלומים הצמדה</t>
  </si>
  <si>
    <t>פרעון מלוות לפר/ תשלומים קרן</t>
  </si>
  <si>
    <t>מינהל תברואה/ השתלמויות ודמי חבר</t>
  </si>
  <si>
    <t>מינהל תברואה/הוצאות תקשורת</t>
  </si>
  <si>
    <t>מינהל שרותי נקיון/הוצ' רכב</t>
  </si>
  <si>
    <t>איגוד ערים כיבוי אש</t>
  </si>
  <si>
    <t>אחזקת כבישים/ חומרים</t>
  </si>
  <si>
    <t>אחזקת כבישים/ עבודות כבישים</t>
  </si>
  <si>
    <t>אחזקת כבישים/ הוצ' אחרות</t>
  </si>
  <si>
    <t>חומרים לנטיעות</t>
  </si>
  <si>
    <t>גנים ונטיעות</t>
  </si>
  <si>
    <t>משכורת עובדים בי"ס תשיעי</t>
  </si>
  <si>
    <t>השתת' בתקציב הג"א ארצי</t>
  </si>
  <si>
    <t>משכורת גנים</t>
  </si>
  <si>
    <t>ילדים בפנימיות</t>
  </si>
  <si>
    <t>מים לחווה החקלאית</t>
  </si>
  <si>
    <t>עבודות קבלניות</t>
  </si>
  <si>
    <t>נכים במשפחות או</t>
  </si>
  <si>
    <t>הוצ' חשמל למפעל</t>
  </si>
  <si>
    <t>תקן במשרות</t>
  </si>
  <si>
    <t>פרק משנה</t>
  </si>
  <si>
    <t>שם החשבון</t>
  </si>
  <si>
    <t>הנהלה וכלליות</t>
  </si>
  <si>
    <t>שירותים מקומיים</t>
  </si>
  <si>
    <t>שירותים ממלכתיים</t>
  </si>
  <si>
    <t>מפעלים</t>
  </si>
  <si>
    <t>תשלומים לא רגילים</t>
  </si>
  <si>
    <t xml:space="preserve">   עיריית תמרה</t>
  </si>
  <si>
    <t>הנהלת הגזברות/מיכון ועיבוד</t>
  </si>
  <si>
    <t>הגזברות/עבודות קבלניות</t>
  </si>
  <si>
    <t>פרוט ההכנסות</t>
  </si>
  <si>
    <t xml:space="preserve">סה"כ </t>
  </si>
  <si>
    <t xml:space="preserve">ארנונה כללית    </t>
  </si>
  <si>
    <t>סה"כ 11</t>
  </si>
  <si>
    <t>ארנונות</t>
  </si>
  <si>
    <t>סה"כ 19</t>
  </si>
  <si>
    <t>מענקים כללים</t>
  </si>
  <si>
    <t xml:space="preserve">סה"כ 1 </t>
  </si>
  <si>
    <t>מיסים ומענק כללי</t>
  </si>
  <si>
    <t>סה"כ 269</t>
  </si>
  <si>
    <t>סה"כ הכנסות שונות</t>
  </si>
  <si>
    <t>סה"כ 313</t>
  </si>
  <si>
    <t xml:space="preserve">נוער </t>
  </si>
  <si>
    <t>סה"כ 342</t>
  </si>
  <si>
    <t>סה"כ 344</t>
  </si>
  <si>
    <t>סה"כ 345</t>
  </si>
  <si>
    <t>סה"כ תקבולים</t>
  </si>
  <si>
    <t>סה"כ 312</t>
  </si>
  <si>
    <t>מענק איזון</t>
  </si>
  <si>
    <t>ארנונה כללית למגורים - פיגורים</t>
  </si>
  <si>
    <t>ארנונה כללית למגורים - שוטף</t>
  </si>
  <si>
    <t>סה"כ 34</t>
  </si>
  <si>
    <t>הנחות לזכאים</t>
  </si>
  <si>
    <t>הנחות ועדה בגין</t>
  </si>
  <si>
    <t xml:space="preserve">היטלים </t>
  </si>
  <si>
    <t>סה"כ 21</t>
  </si>
  <si>
    <t>תברואה</t>
  </si>
  <si>
    <t>בטיחות בדרכים</t>
  </si>
  <si>
    <t>סה"כ 24</t>
  </si>
  <si>
    <t>בית משפט עירוני</t>
  </si>
  <si>
    <t>סה"כ  2</t>
  </si>
  <si>
    <t>בתי"ס יסודיים/ השתת' תושב</t>
  </si>
  <si>
    <t>חינוךמיוחד/ השתתפות ממשלה</t>
  </si>
  <si>
    <t>חוגים לתלמידים/ השתת' תושבים</t>
  </si>
  <si>
    <t>סה"כ 314</t>
  </si>
  <si>
    <t>בתי"ס על יסודיים / השתת' תוש</t>
  </si>
  <si>
    <t>בתי"ס על יסודיים / השתת' ממש</t>
  </si>
  <si>
    <t>סה"כ 315</t>
  </si>
  <si>
    <t>רווחה חינוכית / השתתפות מש</t>
  </si>
  <si>
    <t>הסעת ילדים / השתת' תושב</t>
  </si>
  <si>
    <t>סה"כ 317</t>
  </si>
  <si>
    <t>מוקדי הפעלת נוער/ השתתפות</t>
  </si>
  <si>
    <t xml:space="preserve">סה"כ 32 </t>
  </si>
  <si>
    <t>בריאות / השתתפות מש</t>
  </si>
  <si>
    <t>מינהל הרווחה / השתתפות ממש</t>
  </si>
  <si>
    <t>צרכים מיוחדים / אגרת בגין</t>
  </si>
  <si>
    <t>צרכים מיוחדים / השתתפות ממשל</t>
  </si>
  <si>
    <t>הדרכת משפחות</t>
  </si>
  <si>
    <t>פעולות קהילתיות/ השתת' תושב</t>
  </si>
  <si>
    <t>שרותים לזקן קהיל / השתתפ ממש</t>
  </si>
  <si>
    <t>סידור מפגרים במו/ השתתפותמ</t>
  </si>
  <si>
    <t>שרותים למפגר קהי/ אגרת בגין</t>
  </si>
  <si>
    <t>שרותים למפגר קהי/ השתתפות מ</t>
  </si>
  <si>
    <t>טיפול בעיוור בקה/ השתתפות מ</t>
  </si>
  <si>
    <t>נכים אחזקה במסגר / השתתפות מ</t>
  </si>
  <si>
    <t>נכים טיפול בקהיל / השתתפות מ</t>
  </si>
  <si>
    <t>נכים שיקום במפעל / השתתפות מ</t>
  </si>
  <si>
    <t>טיפול בחבורות רח/ השתתפות מ</t>
  </si>
  <si>
    <t>סמים / השתתפות מוסד</t>
  </si>
  <si>
    <t>מפתנים / השתתפות מש</t>
  </si>
  <si>
    <t>מרכזים קהילתיים  / השתתפות מש</t>
  </si>
  <si>
    <t>שירותים שונים לא/ אגרת בגין</t>
  </si>
  <si>
    <t>סה"כ 37</t>
  </si>
  <si>
    <t>סה"כ 413</t>
  </si>
  <si>
    <t>אגרות מים אחרות/ אחרות</t>
  </si>
  <si>
    <t>סה"כ 4132</t>
  </si>
  <si>
    <t>משק המים</t>
  </si>
  <si>
    <t>משרדים ועסקים/ שכ"ד</t>
  </si>
  <si>
    <t>נכסים</t>
  </si>
  <si>
    <t>ביוב עירוני / אגרת בגין</t>
  </si>
  <si>
    <t>סה"כ 472</t>
  </si>
  <si>
    <t>סה"כ 4</t>
  </si>
  <si>
    <t>סה"כ 31</t>
  </si>
  <si>
    <t>סה"כ 3</t>
  </si>
  <si>
    <t>שרותים ממלכתיים</t>
  </si>
  <si>
    <t>אגרת רישוי עסקים</t>
  </si>
  <si>
    <t>חווה חקלאית</t>
  </si>
  <si>
    <t>הכנסות משרד התעשייה והמסחר</t>
  </si>
  <si>
    <t>סה"כ</t>
  </si>
  <si>
    <t>מסים ומענקים</t>
  </si>
  <si>
    <t>הכנסות</t>
  </si>
  <si>
    <t>ארנונה</t>
  </si>
  <si>
    <t>הנחות ארנונה</t>
  </si>
  <si>
    <t>מים</t>
  </si>
  <si>
    <t>יתר עצמיות</t>
  </si>
  <si>
    <t>משרד החינוך</t>
  </si>
  <si>
    <t>משרד הרווחה</t>
  </si>
  <si>
    <t>מענק כללי</t>
  </si>
  <si>
    <t>תקבולים ממשלתיים אחרים</t>
  </si>
  <si>
    <t>סה"כ הכנסות</t>
  </si>
  <si>
    <t>הוצאות</t>
  </si>
  <si>
    <t>שכר כללי</t>
  </si>
  <si>
    <t>פעולות כלליות</t>
  </si>
  <si>
    <t>רכישות מים</t>
  </si>
  <si>
    <t>שכר רווחה</t>
  </si>
  <si>
    <t>פעולות רווחה</t>
  </si>
  <si>
    <t>הוצאות מימון</t>
  </si>
  <si>
    <t>סה"כ הוצאות</t>
  </si>
  <si>
    <t xml:space="preserve">פרעון מלוות </t>
  </si>
  <si>
    <t xml:space="preserve"> עיריית תמרה</t>
  </si>
  <si>
    <t>אגרות מים פיגורים</t>
  </si>
  <si>
    <t>עיריית תמרה</t>
  </si>
  <si>
    <t>בתי"ס על יסודיים/השכר הקוב/ כוארזמי</t>
  </si>
  <si>
    <t>מרכזיה פדגוגית/השכר הקובע/ מרפ"ד</t>
  </si>
  <si>
    <t>אחזקת ילדים במעו/השכר הקו/ מעון יום</t>
  </si>
  <si>
    <t>סידור מפגרים במס/השכר הקו/ מע"ש</t>
  </si>
  <si>
    <t xml:space="preserve">שכר חינוך </t>
  </si>
  <si>
    <t xml:space="preserve">פעולות חינוך </t>
  </si>
  <si>
    <t>מועדוני נוער</t>
  </si>
  <si>
    <t>מעון יום/השכר הקובע</t>
  </si>
  <si>
    <t>שרות משפטי/השכר הקובע</t>
  </si>
  <si>
    <t>סה"כ 43 +44</t>
  </si>
  <si>
    <t>כיסוי גרעון</t>
  </si>
  <si>
    <t>השתלמויות</t>
  </si>
  <si>
    <t>צריכת מים</t>
  </si>
  <si>
    <t>ביוב עירוני / היטל</t>
  </si>
  <si>
    <t xml:space="preserve">ביוב עירוני </t>
  </si>
  <si>
    <t>פרוייקט מחוננים</t>
  </si>
  <si>
    <t>רשות ניקוז</t>
  </si>
  <si>
    <t>משפחתונים</t>
  </si>
  <si>
    <t>30.09.08</t>
  </si>
  <si>
    <t>ביצוע 30.09.08</t>
  </si>
  <si>
    <t>מועדניות משותפות</t>
  </si>
  <si>
    <t>ילדים במעון יום</t>
  </si>
  <si>
    <t>חומרים</t>
  </si>
  <si>
    <t>השת' המועצה בתקציב פרח</t>
  </si>
  <si>
    <t>ביצוע 30.09.8</t>
  </si>
  <si>
    <t>תקציב 2009</t>
  </si>
  <si>
    <t>חד פעמי 547, מימוש 468, גידול 1.5 410</t>
  </si>
  <si>
    <t>הוצאות שונות/ מחשב לכל ילד</t>
  </si>
  <si>
    <t>הנחת צנרת</t>
  </si>
  <si>
    <t xml:space="preserve">₪        </t>
  </si>
  <si>
    <t>הצעת תקציב 2010</t>
  </si>
  <si>
    <t>סה"כ תקציב 2009</t>
  </si>
  <si>
    <t>תקציב 2010</t>
  </si>
  <si>
    <t>מענק מותנה</t>
  </si>
  <si>
    <t>אגרת תלמידי חוץ</t>
  </si>
  <si>
    <t>בת"י על יסודי קבלניות</t>
  </si>
  <si>
    <t>הכנסות מעבר לתאגיד - עובדים</t>
  </si>
  <si>
    <t xml:space="preserve"> הגזברות/השתלמויות</t>
  </si>
  <si>
    <t>כסוי גרעון</t>
  </si>
  <si>
    <t>עיר ללא אלימות</t>
  </si>
  <si>
    <t>שכר רכז עיר ללא אלימות</t>
  </si>
  <si>
    <t>הוצאות שונות עיר ללא אלימות</t>
  </si>
  <si>
    <t>תוכנית לאומית לטיפול בילדים ונוער בסיכון</t>
  </si>
  <si>
    <t>השתתפות מ.רווחה - ילדים/נוער בסיכון</t>
  </si>
  <si>
    <t>השתתפות מ. חינוך - ילדים/נוער בסיכון</t>
  </si>
  <si>
    <t>השתתפות מ.בריאות- ילדים/נוער בסיכון</t>
  </si>
  <si>
    <t>הוצאה מותנה</t>
  </si>
  <si>
    <t>ביצוע  2009</t>
  </si>
  <si>
    <t>עודף ( גרעון )</t>
  </si>
  <si>
    <t>מועצת הרשות/הוצ' תקשורת</t>
  </si>
  <si>
    <t>ועד ארצי</t>
  </si>
  <si>
    <t>הגזברות/עבודות קבלניות/שעות</t>
  </si>
  <si>
    <t>מינהל שרותי נקיון/רמבה</t>
  </si>
  <si>
    <t>מינהל שרותי נקיון/טיאוט</t>
  </si>
  <si>
    <t>גני ילדים טרוםח/ גננות עובדות מדינה</t>
  </si>
  <si>
    <t>מבקר פנים / השכר הקובע</t>
  </si>
  <si>
    <t>סה"כ הוצאות מותנות</t>
  </si>
  <si>
    <t>הוצאות מותנות</t>
  </si>
  <si>
    <t>30.09.10</t>
  </si>
  <si>
    <t>ביצוע  30.09.10</t>
  </si>
  <si>
    <t>עדכון תקציב 2010</t>
  </si>
  <si>
    <t>עיריית טמרה</t>
  </si>
  <si>
    <t>ריכוז הכנסות - תקציב 2011</t>
  </si>
  <si>
    <t>ריכוז הוצאות  - תקציב 2011</t>
  </si>
  <si>
    <t>אחזקת מבנה העירייה</t>
  </si>
  <si>
    <t>העמותה לקידום מקצועי</t>
  </si>
  <si>
    <t xml:space="preserve">מים לגינות </t>
  </si>
  <si>
    <t>שכר התחלה טובה</t>
  </si>
  <si>
    <t>מתנות עובדים</t>
  </si>
  <si>
    <t>שרות משפטי / השתלמויות</t>
  </si>
  <si>
    <t xml:space="preserve">שרות משפטי / שונות </t>
  </si>
  <si>
    <t>שכר מדריכים</t>
  </si>
  <si>
    <t xml:space="preserve">השתתפות רשויות </t>
  </si>
  <si>
    <t>מוקדי תרבות אחר ומוסיקה</t>
  </si>
  <si>
    <t>גביה קבלניות/אכיפה ועמלות</t>
  </si>
  <si>
    <t>הוצאות תכנון / ועדה לתכנון</t>
  </si>
  <si>
    <t>יועצת למעמד האישה</t>
  </si>
  <si>
    <t>אחזקה כללית</t>
  </si>
  <si>
    <t>משכורת מרכז תקשורת</t>
  </si>
  <si>
    <t>השתתפות לקבוצות ספורט</t>
  </si>
  <si>
    <t>הוצאות שונות</t>
  </si>
  <si>
    <t>שכר טיפול באלכוהוליסטים</t>
  </si>
  <si>
    <t>יועץ ראש העיר</t>
  </si>
  <si>
    <t>שמירה ובטחון</t>
  </si>
  <si>
    <t>הצעת תקציב מעודכנת 2011</t>
  </si>
  <si>
    <t>תקציב 2011</t>
  </si>
  <si>
    <t xml:space="preserve">  30.09.11</t>
  </si>
  <si>
    <t>ביצוע 30.9.2011</t>
  </si>
  <si>
    <t>ביצוע משוער 2011</t>
  </si>
  <si>
    <t>ביצוע 30.09.11</t>
  </si>
  <si>
    <t>ביצוע  30.09.11</t>
  </si>
  <si>
    <t>פרוייקטים שונים-ממשלה</t>
  </si>
  <si>
    <t>פעילות למעמד האשה</t>
  </si>
  <si>
    <t>שמירה בטחונית</t>
  </si>
  <si>
    <t>31.08.12</t>
  </si>
  <si>
    <t>9-12/12</t>
  </si>
  <si>
    <t>החזרות מחברת ביטוח</t>
  </si>
  <si>
    <t>סה"כ 33</t>
  </si>
  <si>
    <t>בריאות</t>
  </si>
  <si>
    <t>ביצוע 31.8.2012</t>
  </si>
  <si>
    <t>ביצוע משוער 9-12.2012</t>
  </si>
  <si>
    <t>משכורת תקשורת</t>
  </si>
  <si>
    <t>שכ"ד פרח</t>
  </si>
  <si>
    <t>הוצאות שונות בית אלנור</t>
  </si>
  <si>
    <t>הוצאות טלפון בית קשיש</t>
  </si>
  <si>
    <t>הצעת תקציב 2012 מס' 1</t>
  </si>
  <si>
    <t>הצעת תקציב מס' 1</t>
  </si>
  <si>
    <t>שכר תובע עירוני</t>
  </si>
  <si>
    <t>הצעת תקציב 2013</t>
  </si>
  <si>
    <t>עצמיות רווחה</t>
  </si>
  <si>
    <t>סה"כ בריאות</t>
  </si>
  <si>
    <t>שיפוצי קיץ ב"ס א</t>
  </si>
  <si>
    <t>שיפוצי קיץ ב"ס ב</t>
  </si>
  <si>
    <t>שיפוצי קיץ ב"ס ג</t>
  </si>
  <si>
    <t>שיפוצי קיץ ב"ס ד</t>
  </si>
  <si>
    <t>שיפוצי קיץ ב"ס ה</t>
  </si>
  <si>
    <t>שיפוצי קיץ ב"ס ו</t>
  </si>
  <si>
    <t>שיפוצי קיץ ב"ס ז</t>
  </si>
  <si>
    <t>שיפוצי קיץ ב"ס ח</t>
  </si>
  <si>
    <t>שיפוצי קיץ ב"ס ט</t>
  </si>
  <si>
    <t>ניהול עצמי ב"ס א</t>
  </si>
  <si>
    <t>ניהול עצמי ב"ס ב</t>
  </si>
  <si>
    <t>ניהול עצמי ב"ס ג</t>
  </si>
  <si>
    <t>ניהול עצמי ב"ס ד</t>
  </si>
  <si>
    <t>ניהול עצמי ב"ס ה</t>
  </si>
  <si>
    <t>ניהול עצמי ב"ס ו</t>
  </si>
  <si>
    <t>ניהול עצמי ב"ס ז</t>
  </si>
  <si>
    <t>ניהול עצמי ב"ס ח</t>
  </si>
  <si>
    <t>ניהול עצמי ב"ס ט</t>
  </si>
  <si>
    <t>ב"ס יסודי א - ניהול עצמי</t>
  </si>
  <si>
    <t>ב"ס יסודי ב - ניהול עצמי</t>
  </si>
  <si>
    <t>ב"ס יסודי ג - ניהול עצמי</t>
  </si>
  <si>
    <t>ב"ס יסודי ד - ניהול עצמי</t>
  </si>
  <si>
    <t>ב"ס יסודי ה - ניהול עצמי</t>
  </si>
  <si>
    <t>ב"ס יסודי ו - ניהול עצמי</t>
  </si>
  <si>
    <t>ב"ס יסודי ז - ניהול עצמי</t>
  </si>
  <si>
    <t>ב"ס יסודי ח - ניהול עצמי</t>
  </si>
  <si>
    <t>ב"ס יסודי ט - ניהול עצמי</t>
  </si>
  <si>
    <t>גני חובה / נקיון</t>
  </si>
  <si>
    <t>מעון יום  וצהרו/חשמל</t>
  </si>
  <si>
    <t>מעון יום  וצהרו/מים</t>
  </si>
  <si>
    <t>מעון יום  וצהרו/הוצ' תקשורת</t>
  </si>
  <si>
    <t>מעון יום  וצהרו/משרדיות</t>
  </si>
  <si>
    <t>מעון יום  וצהרו/חומרים</t>
  </si>
  <si>
    <t>מעון יום  וצהרו/הוצ' שונות</t>
  </si>
  <si>
    <t>גנים חינוך מיוחד / ציוד ראשוני</t>
  </si>
  <si>
    <t>גנים חינוך מיוחד / חומרים</t>
  </si>
  <si>
    <t>מרכז ניותן שכר</t>
  </si>
  <si>
    <t>מרכז ניותן /שונות</t>
  </si>
  <si>
    <t>בתי"ס על יסודיים/השכר הקוב/ ד"ר השאם אבו רומי</t>
  </si>
  <si>
    <t>בתי"ס על יסודיים/השכר הקוב/ אלביאן</t>
  </si>
  <si>
    <t>בתי"ס על יסודיים/השכר הקוב/טכנולוגי</t>
  </si>
  <si>
    <t>משכורת התחלה טובה/שמיד</t>
  </si>
  <si>
    <t>מסגרות יומיות לזקן</t>
  </si>
  <si>
    <t>נערות במצוקה- בית חם</t>
  </si>
  <si>
    <t>בית הקשיש</t>
  </si>
  <si>
    <t>סידור מפגרים במס/ מע"ש מעון אמוני וטיפולי</t>
  </si>
  <si>
    <t>גני ילדים חובה וטרום חובה</t>
  </si>
  <si>
    <t>שכל"מ גני קדם חובה</t>
  </si>
  <si>
    <t>עוזרות לגננות</t>
  </si>
  <si>
    <t>ציוד ראשוני יוח"א</t>
  </si>
  <si>
    <t>עוזרות יוח"א</t>
  </si>
  <si>
    <t>הזנת יוח"א</t>
  </si>
  <si>
    <t>ב"ס יסודי שרתים</t>
  </si>
  <si>
    <t>ב"ס יסודי שרתים יוח"א</t>
  </si>
  <si>
    <t>ב"ס יסודי מזכירים יוח"א</t>
  </si>
  <si>
    <t>ב"ס יסודי אגרת שכפול יוח"א</t>
  </si>
  <si>
    <t>ב"ס יסודי סייעות כתתיות חריגות</t>
  </si>
  <si>
    <t xml:space="preserve">ב"ס יסודי סייעות כתתיות </t>
  </si>
  <si>
    <t>ב"ס יסודי תשלומי הורים</t>
  </si>
  <si>
    <t>ב"ס יסודי אגרת שכפול</t>
  </si>
  <si>
    <t>ב"ס יסודי אגרת שכפול פר תלמיד</t>
  </si>
  <si>
    <t>ב"ס יסודי מועדניות ברשויות</t>
  </si>
  <si>
    <t>חינוך יסודי חוק שילוב סייעות</t>
  </si>
  <si>
    <t>סל תלמיד חט"ב</t>
  </si>
  <si>
    <t>אשכול פיס - לבורנטים</t>
  </si>
  <si>
    <t>אשכול פיס - שרתים</t>
  </si>
  <si>
    <t>אשכול פיס - מזכירים</t>
  </si>
  <si>
    <t>תיכון - קרן השתלמות</t>
  </si>
  <si>
    <t>תיכון - מסלול 7 משופר</t>
  </si>
  <si>
    <t>תיכון - דמי שתיה</t>
  </si>
  <si>
    <t xml:space="preserve">תיכון - רכב מנהלים </t>
  </si>
  <si>
    <t>תיכון - רכב סגני מנהלים</t>
  </si>
  <si>
    <t>תיכון - גמול טיולים</t>
  </si>
  <si>
    <t>תיכון - גמול בגרות אחוזי</t>
  </si>
  <si>
    <t>תיכון - אומץ ומנע</t>
  </si>
  <si>
    <t>תיכון - חינוך תעבורתי</t>
  </si>
  <si>
    <t xml:space="preserve">תיכון - מוחזקות חדש </t>
  </si>
  <si>
    <t>תיכון - שעות שילוב</t>
  </si>
  <si>
    <t>תיכון - תלם</t>
  </si>
  <si>
    <t>תיכון - עתודה מדעית טכנולוגית</t>
  </si>
  <si>
    <t>תיכון - חינוך פיננסי</t>
  </si>
  <si>
    <t xml:space="preserve">תיכון - מילוי מקום </t>
  </si>
  <si>
    <t>תיכון -  פרטניות עוז לתמורה</t>
  </si>
  <si>
    <t>תיכון - ש. תומכות עוז לתמורה</t>
  </si>
  <si>
    <t>תיכון - מנהל עוז לתמורה</t>
  </si>
  <si>
    <t>תיכון - סל שעות לתפקיד עוז לתמורה</t>
  </si>
  <si>
    <t>תיכון - אורינות מדעית</t>
  </si>
  <si>
    <t>תיכון - שעות פרטניות נוספות עוז לתמורה</t>
  </si>
  <si>
    <t>תיכון - שעות תומכות נוספות</t>
  </si>
  <si>
    <t>תיכון -  מוחזקות עוז לתמורה</t>
  </si>
  <si>
    <t>תיכון - שכל"מ</t>
  </si>
  <si>
    <t>חינוך כללי - קב"סים</t>
  </si>
  <si>
    <t>חינוך כללי - קב"טים</t>
  </si>
  <si>
    <t>פסיכולוגים חינוכיים</t>
  </si>
  <si>
    <t>שפי / שעות הדרכה</t>
  </si>
  <si>
    <t>חווה חקלאית - שרתים</t>
  </si>
  <si>
    <t>חווה חקלאית - מזכירים</t>
  </si>
  <si>
    <t>חווה חקלאית - חוות ומכרזים</t>
  </si>
  <si>
    <t>הסעות חינוך מיוחד</t>
  </si>
  <si>
    <t>ל. הסעות חינוך מיוחד</t>
  </si>
  <si>
    <t>הסעות נט  צפון</t>
  </si>
  <si>
    <t>תקציב 2012</t>
  </si>
  <si>
    <t>חינוך  משלים מנ"ע/אומץ/תלם</t>
  </si>
  <si>
    <t>סייעות רפואיות</t>
  </si>
  <si>
    <t>תקשוב</t>
  </si>
  <si>
    <t>צרכים מיוחדים הסעות ואחר</t>
  </si>
  <si>
    <t>תיכון -  דמי שכפול</t>
  </si>
  <si>
    <t>מרכזיה פדגוגית</t>
  </si>
  <si>
    <t>הקצבות שונות חינוך</t>
  </si>
  <si>
    <t>שכ"ד  מחלקת חינוך</t>
  </si>
  <si>
    <t>שכר פנסיה</t>
  </si>
  <si>
    <t>תחזית ביצוע 2012</t>
  </si>
  <si>
    <t xml:space="preserve"> תקציב 2012 </t>
  </si>
  <si>
    <t>עדכון תקציב 2013</t>
  </si>
  <si>
    <t>הכנסות נוספות בפנימיות</t>
  </si>
  <si>
    <t>מענק מותנה 15%</t>
  </si>
  <si>
    <t>ביצוע 30.06.13</t>
  </si>
  <si>
    <t>תחזית ביצוע 31.12.13</t>
  </si>
  <si>
    <t>גביית עמלות אכיפה לרבות ש.עיורניים</t>
  </si>
  <si>
    <t>השתתפות בטורניר קטרגל</t>
  </si>
  <si>
    <t>תחזית ביצוע 2013</t>
  </si>
  <si>
    <t>מענק אחר מ.פנים</t>
  </si>
  <si>
    <t>ביצוע 30.06</t>
  </si>
  <si>
    <t>שכר פיקוח על עסקים ומוסדות</t>
  </si>
  <si>
    <t>משכורת פקח שיטור משולב</t>
  </si>
  <si>
    <t>תקציב 2013</t>
  </si>
  <si>
    <t>ביצוע 30.10.13</t>
  </si>
  <si>
    <t>תקציב 2014</t>
  </si>
  <si>
    <t>ביטוח תלמידים</t>
  </si>
  <si>
    <t>הכנסות מפעולות ספורט</t>
  </si>
  <si>
    <t>אחזקת נכים במשפחה אומנת</t>
  </si>
  <si>
    <t>השתתפות מ. בטחון פנים - עיר ללא אלימות</t>
  </si>
  <si>
    <t>השתתפות מ. בטחון פנים- שמירה בתי"ס</t>
  </si>
  <si>
    <t>סייעות צילה</t>
  </si>
  <si>
    <t>השתתפות הורים קרב</t>
  </si>
  <si>
    <t>השתתפות ממשלה לתלמידים מחוננים</t>
  </si>
  <si>
    <t>חינוך מבוגרים עד הלום</t>
  </si>
  <si>
    <t>תוכנית לאומית - חינוך</t>
  </si>
  <si>
    <t>עמותת הגמלאים</t>
  </si>
  <si>
    <t>השתלמות ודמי חבר</t>
  </si>
  <si>
    <t>מנהל ארנונה</t>
  </si>
  <si>
    <t>מכולות ועגלות לתברואה</t>
  </si>
  <si>
    <t>גני חובה חשמל ומים</t>
  </si>
  <si>
    <t>הוצאות שונות לתובע</t>
  </si>
  <si>
    <t>שכר ב"ס חינוך מיוחד</t>
  </si>
  <si>
    <t>מעונות יום - משפחתונים</t>
  </si>
  <si>
    <t>עצמיות חינוך</t>
  </si>
  <si>
    <t>תקן</t>
  </si>
  <si>
    <t>אירוח משלחת מחו"ל</t>
  </si>
  <si>
    <t>הצעת תקציב 2015</t>
  </si>
  <si>
    <t>ביצוע 10/2014</t>
  </si>
  <si>
    <t>פיקוח וטרנירי</t>
  </si>
  <si>
    <t>הכנסות לשירותים וטרנינרים</t>
  </si>
  <si>
    <t>מכירת חומרי תברואה</t>
  </si>
  <si>
    <t>החזר אגרות הוצל"פ</t>
  </si>
  <si>
    <t>שכ"ל גנ"י ט"חובה</t>
  </si>
  <si>
    <t>מ.חינוך קייטנות קיץ</t>
  </si>
  <si>
    <t>הדרכת נוער</t>
  </si>
  <si>
    <t>ביצוע עד 10.2014</t>
  </si>
  <si>
    <t>פיקוח עסקים ומוסדות הוצ.שונות</t>
  </si>
  <si>
    <t>שכר וטרינר משחטות</t>
  </si>
  <si>
    <t>שכ"ד מחסן</t>
  </si>
  <si>
    <t>אחזקת רכבים</t>
  </si>
  <si>
    <t>הוצאות תיקשורת</t>
  </si>
  <si>
    <t>דלק שמנים לרכב</t>
  </si>
  <si>
    <t>שכר מחלקת גינון</t>
  </si>
  <si>
    <t>שכר עוזרות ציל"ה גנ"י</t>
  </si>
  <si>
    <t>הוצאות לקייטנות</t>
  </si>
  <si>
    <t>תוכנית נוער ישובי שמיד פע"רווחה</t>
  </si>
  <si>
    <t>תוכנית נוער ישובי שמיד פע"חנוך</t>
  </si>
  <si>
    <t>מפגרים במעונות + מעשים</t>
  </si>
  <si>
    <t>טפול בנוער וצעירים</t>
  </si>
  <si>
    <t>עבודה קהילתית</t>
  </si>
  <si>
    <t>שכר רכזות</t>
  </si>
  <si>
    <t>ביצוע צפוי 2014</t>
  </si>
  <si>
    <t>תקציב 2015</t>
  </si>
  <si>
    <t>ביצוע משוער 2014</t>
  </si>
  <si>
    <t>ביצוע 10.2014</t>
  </si>
  <si>
    <t>עדכון תקציב 2014</t>
  </si>
  <si>
    <t>בתי"ס על יסודיים/חומרי נקיון</t>
  </si>
  <si>
    <t>מועצת הרשות/הוצאות משרדיות</t>
  </si>
  <si>
    <t>מועצת הרשות/כלים מכשירים וציוד</t>
  </si>
  <si>
    <t>מזכירות/ שונות</t>
  </si>
  <si>
    <t>מנגנון/הוצאות תקשורת</t>
  </si>
  <si>
    <t>שרות משפטי/הוצאות משפטיות</t>
  </si>
  <si>
    <t>מינהל שרותי נקיון/דלק ושמנים</t>
  </si>
  <si>
    <t>שרותים אחרים / השתתפות  - בטיחות</t>
  </si>
  <si>
    <t>סטג'רים</t>
  </si>
  <si>
    <t>רובוטיקה</t>
  </si>
  <si>
    <t>ניהול עצמי אלמותנבי</t>
  </si>
  <si>
    <t>ניהול עצמי אלביאן</t>
  </si>
  <si>
    <t>ניהול עצמי אלפראבי</t>
  </si>
  <si>
    <t>ניהול עצמי אבן חלדון</t>
  </si>
  <si>
    <t>מלגות לסטודנטים</t>
  </si>
  <si>
    <t>פסטיבל חגים</t>
  </si>
  <si>
    <t>טיפול באלכוהוליסטים</t>
  </si>
  <si>
    <t>בית הקשיש / מרכז פיס</t>
  </si>
  <si>
    <t xml:space="preserve">שלטים </t>
  </si>
  <si>
    <t xml:space="preserve">הכנסות שונות  </t>
  </si>
  <si>
    <t>סמים / השתתפות ממשלה</t>
  </si>
  <si>
    <t>יחידה לאיכות הסב/ השתתפות ממשלה</t>
  </si>
  <si>
    <t>תמיכות עמותות חינוך ותרבות</t>
  </si>
  <si>
    <t>שכר רשם אוכלוסין</t>
  </si>
  <si>
    <t>קב"ט/השכר הקובע</t>
  </si>
  <si>
    <t>קב"ט/הוצאות תקשורת</t>
  </si>
  <si>
    <t>קב"ט/הוצ' שונות</t>
  </si>
  <si>
    <t>רכש ואספקה/ השכר הקוב</t>
  </si>
  <si>
    <t>רכש ואספקה/השתלמויות ו</t>
  </si>
  <si>
    <t>רכש ואספקה/ תקשורת</t>
  </si>
  <si>
    <t>השכר הקובע/ מגרש כדורגל</t>
  </si>
  <si>
    <t>שכר פעילות קהילתית</t>
  </si>
  <si>
    <t>פעילות קהילתית / קבלניות</t>
  </si>
  <si>
    <t>הצעת תקציב 2016</t>
  </si>
  <si>
    <t>הצעת מעודכנת תקציב 2015</t>
  </si>
  <si>
    <t>מול צביעה</t>
  </si>
  <si>
    <t>מיון</t>
  </si>
  <si>
    <t>הצעת תקציב לשנת 2016-הוצאות ( ₪ )</t>
  </si>
  <si>
    <t>הצעת תקציב לשנת 2016-הכנסות  ( ₪ )</t>
  </si>
  <si>
    <t>?????</t>
  </si>
  <si>
    <t>????.</t>
  </si>
  <si>
    <t>!!!</t>
  </si>
  <si>
    <t>הוצאות גביה</t>
  </si>
  <si>
    <t>הג"א מקומי</t>
  </si>
  <si>
    <t>סייעת שניה</t>
  </si>
  <si>
    <t>!!!!</t>
  </si>
  <si>
    <t>מחשב לכל ילד</t>
  </si>
  <si>
    <t>תל"מ</t>
  </si>
  <si>
    <t>מנהל בית הקשיש</t>
  </si>
  <si>
    <t>סייעות מלוות</t>
  </si>
  <si>
    <t>סייעות צילה / מתנ"ס</t>
  </si>
  <si>
    <t>כולל מצלמות</t>
  </si>
  <si>
    <t>בית הקשיש משכורות</t>
  </si>
  <si>
    <t>בית הקשיש - שונות</t>
  </si>
  <si>
    <t>מועדון מפגרים מש"ה</t>
  </si>
  <si>
    <t>מועדון מופת לזקנים</t>
  </si>
  <si>
    <t>מועדונית שקומית לילדים עם נכויות</t>
  </si>
  <si>
    <t>הזדמנות שניה</t>
  </si>
  <si>
    <t>פעילות ספורט במתנ"ס</t>
  </si>
  <si>
    <t>ספורט נשי</t>
  </si>
  <si>
    <t>GIS</t>
  </si>
  <si>
    <t xml:space="preserve">תקציב 2016 </t>
  </si>
  <si>
    <t>משכורת חט"ב פאראבי</t>
  </si>
  <si>
    <t>משכורת חט"ב אבן חלדון</t>
  </si>
  <si>
    <t>משכורת אשכול פיס</t>
  </si>
  <si>
    <t>משכורת חט"ב אלמותנבי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</si>
</sst>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 * #,##0.00_ ;_ * \-#,##0.00_ ;_ * &quot;-&quot;??_ ;_ @_ "/>
    <numFmt numFmtId="164" formatCode="0.000"/>
    <numFmt numFmtId="165" formatCode="0.000;[Red]0.000"/>
    <numFmt numFmtId="166" formatCode="#,##0.0;[Red]#,##0.0"/>
    <numFmt numFmtId="167" formatCode="0.0;[Red]0.0"/>
    <numFmt numFmtId="168" formatCode="#,##0.0"/>
    <numFmt numFmtId="169" formatCode="#,##0_);#,##0"/>
    <numFmt numFmtId="170" formatCode="_ * #,##0_ ;_ * \-#,##0_ ;_ * &quot;-&quot;??_ ;_ @_ "/>
    <numFmt numFmtId="171" formatCode="#,##0;[Red]#,##0"/>
  </numFmts>
  <fonts count="41" x14ac:knownFonts="1">
    <font>
      <sz val="12"/>
      <name val="David"/>
      <charset val="177"/>
    </font>
    <font>
      <sz val="12"/>
      <name val="David"/>
      <family val="2"/>
      <charset val="177"/>
    </font>
    <font>
      <sz val="10"/>
      <name val="Arial"/>
      <family val="2"/>
    </font>
    <font>
      <sz val="8"/>
      <name val="David"/>
      <family val="2"/>
      <charset val="177"/>
    </font>
    <font>
      <b/>
      <u/>
      <sz val="16"/>
      <name val="David"/>
      <family val="2"/>
      <charset val="177"/>
    </font>
    <font>
      <b/>
      <u/>
      <sz val="8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b/>
      <sz val="8"/>
      <name val="David"/>
      <family val="2"/>
      <charset val="177"/>
    </font>
    <font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u/>
      <sz val="12"/>
      <name val="David"/>
      <family val="2"/>
      <charset val="177"/>
    </font>
    <font>
      <b/>
      <u/>
      <sz val="10"/>
      <color indexed="10"/>
      <name val="David"/>
      <family val="2"/>
      <charset val="177"/>
    </font>
    <font>
      <b/>
      <sz val="10"/>
      <name val="David"/>
      <family val="2"/>
      <charset val="177"/>
    </font>
    <font>
      <b/>
      <u/>
      <sz val="12"/>
      <color indexed="10"/>
      <name val="David"/>
      <family val="2"/>
      <charset val="177"/>
    </font>
    <font>
      <b/>
      <u/>
      <sz val="36"/>
      <name val="David"/>
      <family val="2"/>
      <charset val="177"/>
    </font>
    <font>
      <b/>
      <sz val="26"/>
      <name val="David"/>
      <family val="2"/>
      <charset val="177"/>
    </font>
    <font>
      <sz val="12"/>
      <name val="David"/>
      <family val="2"/>
      <charset val="177"/>
    </font>
    <font>
      <b/>
      <i/>
      <u/>
      <sz val="26"/>
      <name val="David"/>
      <family val="2"/>
      <charset val="177"/>
    </font>
    <font>
      <b/>
      <sz val="14"/>
      <name val="David"/>
      <family val="2"/>
      <charset val="177"/>
    </font>
    <font>
      <b/>
      <sz val="20"/>
      <name val="David"/>
      <family val="2"/>
      <charset val="177"/>
    </font>
    <font>
      <b/>
      <sz val="18"/>
      <name val="David"/>
      <family val="2"/>
      <charset val="177"/>
    </font>
    <font>
      <sz val="10"/>
      <name val="David"/>
      <family val="2"/>
      <charset val="177"/>
    </font>
    <font>
      <sz val="8"/>
      <color indexed="8"/>
      <name val="David"/>
      <family val="2"/>
      <charset val="177"/>
    </font>
    <font>
      <sz val="10"/>
      <color indexed="8"/>
      <name val="Arial"/>
      <family val="2"/>
    </font>
    <font>
      <b/>
      <sz val="10"/>
      <name val="Arial"/>
      <family val="2"/>
    </font>
    <font>
      <sz val="14"/>
      <name val="David"/>
      <family val="2"/>
      <charset val="177"/>
    </font>
    <font>
      <b/>
      <sz val="13"/>
      <name val="David"/>
      <family val="2"/>
      <charset val="177"/>
    </font>
    <font>
      <sz val="13"/>
      <name val="David"/>
      <family val="2"/>
      <charset val="177"/>
    </font>
    <font>
      <b/>
      <u/>
      <sz val="13"/>
      <name val="David"/>
      <family val="2"/>
      <charset val="177"/>
    </font>
    <font>
      <u/>
      <sz val="13"/>
      <name val="David"/>
      <family val="2"/>
      <charset val="177"/>
    </font>
    <font>
      <b/>
      <i/>
      <sz val="13"/>
      <name val="David"/>
      <family val="2"/>
      <charset val="177"/>
    </font>
    <font>
      <sz val="13"/>
      <name val="Arial"/>
      <family val="2"/>
    </font>
    <font>
      <b/>
      <u val="singleAccounting"/>
      <sz val="13"/>
      <name val="David"/>
      <family val="2"/>
      <charset val="177"/>
    </font>
    <font>
      <sz val="13"/>
      <color indexed="8"/>
      <name val="David"/>
      <family val="2"/>
      <charset val="177"/>
    </font>
    <font>
      <sz val="13"/>
      <color indexed="10"/>
      <name val="David"/>
      <family val="2"/>
      <charset val="177"/>
    </font>
    <font>
      <u/>
      <sz val="13"/>
      <color indexed="8"/>
      <name val="David"/>
      <family val="2"/>
      <charset val="177"/>
    </font>
    <font>
      <b/>
      <u/>
      <sz val="13"/>
      <color indexed="8"/>
      <name val="David"/>
      <family val="2"/>
      <charset val="177"/>
    </font>
    <font>
      <b/>
      <sz val="16"/>
      <name val="David"/>
      <family val="2"/>
      <charset val="177"/>
    </font>
    <font>
      <b/>
      <u/>
      <sz val="14"/>
      <name val="David"/>
      <family val="2"/>
      <charset val="177"/>
    </font>
    <font>
      <sz val="16"/>
      <name val="David"/>
      <family val="2"/>
      <charset val="177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</cellStyleXfs>
  <cellXfs count="387">
    <xf numFmtId="0" fontId="0" fillId="0" borderId="0" xfId="0"/>
    <xf numFmtId="0" fontId="5" fillId="0" borderId="0" xfId="8" applyFont="1" applyBorder="1" applyAlignment="1">
      <alignment horizontal="center"/>
    </xf>
    <xf numFmtId="0" fontId="3" fillId="0" borderId="0" xfId="2" applyFont="1" applyBorder="1"/>
    <xf numFmtId="0" fontId="6" fillId="0" borderId="0" xfId="2" applyFont="1"/>
    <xf numFmtId="0" fontId="3" fillId="0" borderId="0" xfId="2" applyFont="1"/>
    <xf numFmtId="0" fontId="2" fillId="0" borderId="0" xfId="2"/>
    <xf numFmtId="164" fontId="13" fillId="0" borderId="0" xfId="2" applyNumberFormat="1" applyFont="1" applyBorder="1"/>
    <xf numFmtId="3" fontId="1" fillId="0" borderId="0" xfId="2" applyNumberFormat="1" applyFont="1" applyFill="1" applyBorder="1" applyAlignment="1">
      <alignment horizontal="right"/>
    </xf>
    <xf numFmtId="3" fontId="9" fillId="0" borderId="0" xfId="2" applyNumberFormat="1" applyFont="1" applyBorder="1" applyAlignment="1">
      <alignment horizontal="right"/>
    </xf>
    <xf numFmtId="0" fontId="9" fillId="0" borderId="0" xfId="2" applyFont="1" applyBorder="1" applyAlignment="1">
      <alignment horizontal="right"/>
    </xf>
    <xf numFmtId="3" fontId="14" fillId="0" borderId="0" xfId="2" applyNumberFormat="1" applyFont="1" applyFill="1" applyBorder="1" applyAlignment="1">
      <alignment horizontal="right"/>
    </xf>
    <xf numFmtId="3" fontId="12" fillId="0" borderId="0" xfId="2" applyNumberFormat="1" applyFont="1" applyBorder="1" applyAlignment="1">
      <alignment horizontal="right"/>
    </xf>
    <xf numFmtId="0" fontId="3" fillId="0" borderId="0" xfId="2" applyFont="1" applyBorder="1" applyAlignment="1">
      <alignment horizontal="right"/>
    </xf>
    <xf numFmtId="164" fontId="8" fillId="0" borderId="0" xfId="2" applyNumberFormat="1" applyFont="1" applyBorder="1"/>
    <xf numFmtId="0" fontId="2" fillId="0" borderId="0" xfId="3"/>
    <xf numFmtId="0" fontId="10" fillId="0" borderId="0" xfId="8" applyFont="1" applyBorder="1" applyAlignment="1">
      <alignment horizontal="center"/>
    </xf>
    <xf numFmtId="0" fontId="9" fillId="0" borderId="0" xfId="3" applyFont="1" applyBorder="1"/>
    <xf numFmtId="0" fontId="9" fillId="0" borderId="0" xfId="8" applyFont="1" applyBorder="1"/>
    <xf numFmtId="0" fontId="13" fillId="0" borderId="0" xfId="4" applyFont="1" applyBorder="1" applyAlignment="1">
      <alignment horizontal="center"/>
    </xf>
    <xf numFmtId="0" fontId="13" fillId="0" borderId="0" xfId="4" applyFont="1" applyBorder="1" applyAlignment="1">
      <alignment horizontal="right"/>
    </xf>
    <xf numFmtId="0" fontId="13" fillId="0" borderId="0" xfId="4" applyFont="1" applyBorder="1"/>
    <xf numFmtId="0" fontId="9" fillId="0" borderId="0" xfId="3" applyNumberFormat="1" applyFont="1" applyBorder="1"/>
    <xf numFmtId="165" fontId="9" fillId="0" borderId="0" xfId="8" applyNumberFormat="1" applyFont="1" applyBorder="1"/>
    <xf numFmtId="0" fontId="9" fillId="0" borderId="0" xfId="8" applyFont="1" applyBorder="1" applyAlignment="1">
      <alignment horizontal="right"/>
    </xf>
    <xf numFmtId="166" fontId="9" fillId="0" borderId="0" xfId="8" applyNumberFormat="1" applyFont="1" applyBorder="1"/>
    <xf numFmtId="0" fontId="13" fillId="0" borderId="0" xfId="8" applyFont="1" applyBorder="1" applyAlignment="1">
      <alignment horizontal="right"/>
    </xf>
    <xf numFmtId="166" fontId="13" fillId="0" borderId="0" xfId="8" applyNumberFormat="1" applyFont="1" applyBorder="1"/>
    <xf numFmtId="164" fontId="9" fillId="0" borderId="0" xfId="8" applyNumberFormat="1" applyFont="1" applyBorder="1"/>
    <xf numFmtId="167" fontId="9" fillId="0" borderId="0" xfId="8" applyNumberFormat="1" applyFont="1" applyBorder="1"/>
    <xf numFmtId="165" fontId="9" fillId="0" borderId="0" xfId="3" applyNumberFormat="1" applyFont="1" applyBorder="1"/>
    <xf numFmtId="4" fontId="9" fillId="0" borderId="0" xfId="3" applyNumberFormat="1" applyFont="1" applyBorder="1"/>
    <xf numFmtId="166" fontId="9" fillId="0" borderId="0" xfId="3" applyNumberFormat="1" applyFont="1" applyBorder="1"/>
    <xf numFmtId="168" fontId="9" fillId="0" borderId="0" xfId="3" applyNumberFormat="1" applyFont="1" applyBorder="1"/>
    <xf numFmtId="164" fontId="9" fillId="0" borderId="0" xfId="3" applyNumberFormat="1" applyFont="1" applyBorder="1"/>
    <xf numFmtId="0" fontId="13" fillId="0" borderId="0" xfId="3" applyFont="1" applyBorder="1"/>
    <xf numFmtId="165" fontId="13" fillId="0" borderId="0" xfId="8" applyNumberFormat="1" applyFont="1" applyBorder="1"/>
    <xf numFmtId="167" fontId="9" fillId="0" borderId="0" xfId="3" applyNumberFormat="1" applyFont="1" applyBorder="1"/>
    <xf numFmtId="169" fontId="9" fillId="0" borderId="0" xfId="8" applyNumberFormat="1" applyFont="1" applyBorder="1"/>
    <xf numFmtId="166" fontId="9" fillId="0" borderId="0" xfId="8" applyNumberFormat="1" applyFont="1" applyBorder="1" applyAlignment="1">
      <alignment horizontal="right"/>
    </xf>
    <xf numFmtId="0" fontId="8" fillId="0" borderId="0" xfId="3" applyFont="1" applyBorder="1"/>
    <xf numFmtId="0" fontId="3" fillId="0" borderId="0" xfId="3" applyFont="1" applyBorder="1"/>
    <xf numFmtId="3" fontId="11" fillId="0" borderId="0" xfId="8" applyNumberFormat="1" applyFont="1" applyBorder="1" applyAlignment="1">
      <alignment horizontal="center"/>
    </xf>
    <xf numFmtId="3" fontId="3" fillId="0" borderId="0" xfId="3" applyNumberFormat="1" applyFont="1" applyBorder="1" applyAlignment="1">
      <alignment horizontal="center"/>
    </xf>
    <xf numFmtId="0" fontId="16" fillId="0" borderId="0" xfId="0" applyFont="1" applyAlignment="1">
      <alignment horizontal="center" readingOrder="2"/>
    </xf>
    <xf numFmtId="0" fontId="9" fillId="0" borderId="0" xfId="0" applyFont="1"/>
    <xf numFmtId="0" fontId="15" fillId="2" borderId="0" xfId="0" applyFont="1" applyFill="1" applyAlignment="1">
      <alignment horizontal="center" readingOrder="2"/>
    </xf>
    <xf numFmtId="0" fontId="18" fillId="2" borderId="0" xfId="0" applyFont="1" applyFill="1" applyAlignment="1">
      <alignment horizontal="center" readingOrder="2"/>
    </xf>
    <xf numFmtId="3" fontId="11" fillId="2" borderId="1" xfId="2" applyNumberFormat="1" applyFont="1" applyFill="1" applyBorder="1" applyAlignment="1">
      <alignment horizontal="center"/>
    </xf>
    <xf numFmtId="0" fontId="2" fillId="0" borderId="0" xfId="3" applyFont="1"/>
    <xf numFmtId="0" fontId="17" fillId="0" borderId="0" xfId="0" applyFont="1"/>
    <xf numFmtId="0" fontId="0" fillId="0" borderId="0" xfId="0" applyFill="1"/>
    <xf numFmtId="0" fontId="2" fillId="0" borderId="0" xfId="3" applyFill="1"/>
    <xf numFmtId="165" fontId="9" fillId="0" borderId="0" xfId="8" applyNumberFormat="1" applyFont="1" applyFill="1" applyBorder="1"/>
    <xf numFmtId="0" fontId="9" fillId="0" borderId="0" xfId="8" applyFont="1" applyFill="1" applyBorder="1" applyAlignment="1">
      <alignment horizontal="right"/>
    </xf>
    <xf numFmtId="166" fontId="9" fillId="0" borderId="0" xfId="8" applyNumberFormat="1" applyFont="1" applyFill="1" applyBorder="1"/>
    <xf numFmtId="0" fontId="9" fillId="0" borderId="0" xfId="3" applyFont="1" applyFill="1" applyBorder="1"/>
    <xf numFmtId="164" fontId="9" fillId="0" borderId="0" xfId="8" applyNumberFormat="1" applyFont="1" applyFill="1" applyBorder="1"/>
    <xf numFmtId="0" fontId="13" fillId="0" borderId="0" xfId="8" applyFont="1" applyFill="1" applyBorder="1" applyAlignment="1">
      <alignment horizontal="right"/>
    </xf>
    <xf numFmtId="166" fontId="13" fillId="0" borderId="0" xfId="8" applyNumberFormat="1" applyFont="1" applyFill="1" applyBorder="1"/>
    <xf numFmtId="165" fontId="13" fillId="0" borderId="0" xfId="8" applyNumberFormat="1" applyFont="1" applyFill="1" applyBorder="1"/>
    <xf numFmtId="165" fontId="9" fillId="0" borderId="0" xfId="3" applyNumberFormat="1" applyFont="1" applyFill="1" applyBorder="1"/>
    <xf numFmtId="166" fontId="9" fillId="0" borderId="0" xfId="3" applyNumberFormat="1" applyFont="1" applyFill="1" applyBorder="1"/>
    <xf numFmtId="168" fontId="9" fillId="0" borderId="0" xfId="3" applyNumberFormat="1" applyFont="1" applyFill="1" applyBorder="1"/>
    <xf numFmtId="164" fontId="9" fillId="0" borderId="0" xfId="3" applyNumberFormat="1" applyFont="1" applyFill="1" applyBorder="1"/>
    <xf numFmtId="0" fontId="13" fillId="0" borderId="1" xfId="3" applyFont="1" applyBorder="1"/>
    <xf numFmtId="170" fontId="9" fillId="0" borderId="1" xfId="1" applyNumberFormat="1" applyFont="1" applyBorder="1"/>
    <xf numFmtId="0" fontId="2" fillId="0" borderId="0" xfId="2" applyFill="1"/>
    <xf numFmtId="170" fontId="0" fillId="0" borderId="0" xfId="1" applyNumberFormat="1" applyFont="1"/>
    <xf numFmtId="170" fontId="9" fillId="0" borderId="0" xfId="1" applyNumberFormat="1" applyFont="1" applyBorder="1"/>
    <xf numFmtId="170" fontId="2" fillId="0" borderId="0" xfId="1" applyNumberFormat="1" applyFont="1"/>
    <xf numFmtId="0" fontId="20" fillId="0" borderId="0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3" fontId="9" fillId="0" borderId="0" xfId="2" applyNumberFormat="1" applyFont="1" applyFill="1" applyBorder="1" applyAlignment="1">
      <alignment horizontal="right"/>
    </xf>
    <xf numFmtId="0" fontId="3" fillId="0" borderId="0" xfId="2" applyFont="1" applyFill="1" applyBorder="1" applyAlignment="1">
      <alignment horizontal="right"/>
    </xf>
    <xf numFmtId="0" fontId="9" fillId="0" borderId="1" xfId="3" applyFont="1" applyBorder="1"/>
    <xf numFmtId="0" fontId="3" fillId="0" borderId="1" xfId="3" applyFont="1" applyBorder="1"/>
    <xf numFmtId="3" fontId="3" fillId="0" borderId="1" xfId="3" applyNumberFormat="1" applyFont="1" applyBorder="1" applyAlignment="1">
      <alignment horizontal="center"/>
    </xf>
    <xf numFmtId="0" fontId="9" fillId="0" borderId="1" xfId="3" applyNumberFormat="1" applyFont="1" applyBorder="1"/>
    <xf numFmtId="0" fontId="9" fillId="0" borderId="1" xfId="3" applyFont="1" applyFill="1" applyBorder="1"/>
    <xf numFmtId="0" fontId="19" fillId="8" borderId="6" xfId="2" applyFont="1" applyFill="1" applyBorder="1" applyAlignment="1">
      <alignment horizontal="center" wrapText="1"/>
    </xf>
    <xf numFmtId="0" fontId="7" fillId="8" borderId="6" xfId="2" applyFont="1" applyFill="1" applyBorder="1" applyAlignment="1">
      <alignment horizontal="center" wrapText="1"/>
    </xf>
    <xf numFmtId="0" fontId="22" fillId="0" borderId="0" xfId="0" applyFont="1"/>
    <xf numFmtId="0" fontId="19" fillId="8" borderId="13" xfId="2" applyFont="1" applyFill="1" applyBorder="1" applyAlignment="1">
      <alignment horizontal="center" wrapText="1"/>
    </xf>
    <xf numFmtId="0" fontId="23" fillId="0" borderId="0" xfId="2" applyFont="1" applyFill="1" applyAlignment="1">
      <alignment horizontal="center"/>
    </xf>
    <xf numFmtId="0" fontId="24" fillId="0" borderId="0" xfId="2" applyFont="1"/>
    <xf numFmtId="0" fontId="7" fillId="3" borderId="1" xfId="2" applyFont="1" applyFill="1" applyBorder="1" applyAlignment="1">
      <alignment horizontal="center" vertical="center" wrapText="1"/>
    </xf>
    <xf numFmtId="170" fontId="9" fillId="0" borderId="0" xfId="1" applyNumberFormat="1" applyFont="1" applyBorder="1" applyAlignment="1">
      <alignment horizontal="right"/>
    </xf>
    <xf numFmtId="0" fontId="8" fillId="0" borderId="0" xfId="2" applyFont="1"/>
    <xf numFmtId="0" fontId="25" fillId="0" borderId="0" xfId="2" applyFont="1"/>
    <xf numFmtId="0" fontId="25" fillId="0" borderId="0" xfId="2" applyFont="1" applyFill="1"/>
    <xf numFmtId="0" fontId="7" fillId="0" borderId="0" xfId="0" applyFont="1"/>
    <xf numFmtId="0" fontId="2" fillId="13" borderId="0" xfId="3" applyFill="1"/>
    <xf numFmtId="0" fontId="26" fillId="8" borderId="13" xfId="0" applyFont="1" applyFill="1" applyBorder="1"/>
    <xf numFmtId="0" fontId="19" fillId="11" borderId="1" xfId="4" applyFont="1" applyFill="1" applyBorder="1" applyAlignment="1">
      <alignment horizontal="center"/>
    </xf>
    <xf numFmtId="0" fontId="19" fillId="11" borderId="1" xfId="4" applyNumberFormat="1" applyFont="1" applyFill="1" applyBorder="1" applyAlignment="1">
      <alignment horizontal="center"/>
    </xf>
    <xf numFmtId="0" fontId="26" fillId="11" borderId="1" xfId="3" applyFont="1" applyFill="1" applyBorder="1" applyAlignment="1">
      <alignment horizontal="center"/>
    </xf>
    <xf numFmtId="0" fontId="19" fillId="11" borderId="1" xfId="2" applyFont="1" applyFill="1" applyBorder="1" applyAlignment="1">
      <alignment horizontal="center" wrapText="1"/>
    </xf>
    <xf numFmtId="14" fontId="19" fillId="11" borderId="1" xfId="4" quotePrefix="1" applyNumberFormat="1" applyFont="1" applyFill="1" applyBorder="1" applyAlignment="1">
      <alignment horizontal="center"/>
    </xf>
    <xf numFmtId="0" fontId="19" fillId="11" borderId="1" xfId="4" quotePrefix="1" applyNumberFormat="1" applyFont="1" applyFill="1" applyBorder="1" applyAlignment="1">
      <alignment horizontal="center"/>
    </xf>
    <xf numFmtId="0" fontId="19" fillId="11" borderId="1" xfId="1" applyNumberFormat="1" applyFont="1" applyFill="1" applyBorder="1" applyAlignment="1">
      <alignment horizontal="center"/>
    </xf>
    <xf numFmtId="0" fontId="26" fillId="11" borderId="1" xfId="3" applyFont="1" applyFill="1" applyBorder="1"/>
    <xf numFmtId="0" fontId="19" fillId="11" borderId="1" xfId="4" applyFont="1" applyFill="1" applyBorder="1" applyAlignment="1">
      <alignment horizontal="center" wrapText="1"/>
    </xf>
    <xf numFmtId="165" fontId="27" fillId="0" borderId="1" xfId="8" applyNumberFormat="1" applyFont="1" applyBorder="1"/>
    <xf numFmtId="0" fontId="28" fillId="0" borderId="1" xfId="8" applyFont="1" applyBorder="1" applyAlignment="1">
      <alignment horizontal="right"/>
    </xf>
    <xf numFmtId="3" fontId="28" fillId="0" borderId="1" xfId="3" applyNumberFormat="1" applyFont="1" applyBorder="1" applyAlignment="1">
      <alignment horizontal="center"/>
    </xf>
    <xf numFmtId="3" fontId="28" fillId="0" borderId="1" xfId="8" applyNumberFormat="1" applyFont="1" applyFill="1" applyBorder="1" applyAlignment="1">
      <alignment horizontal="center"/>
    </xf>
    <xf numFmtId="0" fontId="28" fillId="0" borderId="1" xfId="8" applyNumberFormat="1" applyFont="1" applyBorder="1" applyProtection="1">
      <protection locked="0"/>
    </xf>
    <xf numFmtId="170" fontId="28" fillId="0" borderId="1" xfId="1" applyNumberFormat="1" applyFont="1" applyBorder="1"/>
    <xf numFmtId="170" fontId="28" fillId="0" borderId="1" xfId="1" applyNumberFormat="1" applyFont="1" applyBorder="1" applyAlignment="1">
      <alignment horizontal="right"/>
    </xf>
    <xf numFmtId="170" fontId="28" fillId="0" borderId="1" xfId="1" applyNumberFormat="1" applyFont="1" applyFill="1" applyBorder="1" applyAlignment="1">
      <alignment horizontal="right"/>
    </xf>
    <xf numFmtId="170" fontId="27" fillId="0" borderId="1" xfId="1" applyNumberFormat="1" applyFont="1" applyBorder="1" applyAlignment="1">
      <alignment horizontal="right"/>
    </xf>
    <xf numFmtId="171" fontId="28" fillId="0" borderId="1" xfId="8" applyNumberFormat="1" applyFont="1" applyBorder="1"/>
    <xf numFmtId="9" fontId="28" fillId="0" borderId="1" xfId="9" applyFont="1" applyBorder="1" applyAlignment="1">
      <alignment horizontal="right"/>
    </xf>
    <xf numFmtId="165" fontId="29" fillId="2" borderId="1" xfId="8" applyNumberFormat="1" applyFont="1" applyFill="1" applyBorder="1"/>
    <xf numFmtId="3" fontId="29" fillId="2" borderId="1" xfId="8" applyNumberFormat="1" applyFont="1" applyFill="1" applyBorder="1" applyAlignment="1">
      <alignment horizontal="right"/>
    </xf>
    <xf numFmtId="3" fontId="29" fillId="2" borderId="1" xfId="8" applyNumberFormat="1" applyFont="1" applyFill="1" applyBorder="1" applyAlignment="1">
      <alignment horizontal="center"/>
    </xf>
    <xf numFmtId="0" fontId="28" fillId="0" borderId="1" xfId="8" applyNumberFormat="1" applyFont="1" applyBorder="1"/>
    <xf numFmtId="170" fontId="29" fillId="2" borderId="1" xfId="1" applyNumberFormat="1" applyFont="1" applyFill="1" applyBorder="1" applyAlignment="1">
      <alignment horizontal="center"/>
    </xf>
    <xf numFmtId="170" fontId="29" fillId="0" borderId="1" xfId="1" applyNumberFormat="1" applyFont="1" applyFill="1" applyBorder="1" applyAlignment="1">
      <alignment horizontal="center"/>
    </xf>
    <xf numFmtId="171" fontId="27" fillId="0" borderId="1" xfId="8" applyNumberFormat="1" applyFont="1" applyBorder="1"/>
    <xf numFmtId="171" fontId="28" fillId="0" borderId="1" xfId="3" applyNumberFormat="1" applyFont="1" applyBorder="1"/>
    <xf numFmtId="165" fontId="30" fillId="2" borderId="1" xfId="8" applyNumberFormat="1" applyFont="1" applyFill="1" applyBorder="1"/>
    <xf numFmtId="0" fontId="30" fillId="2" borderId="1" xfId="8" applyFont="1" applyFill="1" applyBorder="1" applyAlignment="1">
      <alignment horizontal="right"/>
    </xf>
    <xf numFmtId="3" fontId="30" fillId="2" borderId="1" xfId="8" applyNumberFormat="1" applyFont="1" applyFill="1" applyBorder="1" applyAlignment="1">
      <alignment horizontal="center"/>
    </xf>
    <xf numFmtId="170" fontId="30" fillId="2" borderId="1" xfId="1" applyNumberFormat="1" applyFont="1" applyFill="1" applyBorder="1" applyAlignment="1">
      <alignment horizontal="center"/>
    </xf>
    <xf numFmtId="170" fontId="30" fillId="0" borderId="1" xfId="1" applyNumberFormat="1" applyFont="1" applyFill="1" applyBorder="1" applyAlignment="1">
      <alignment horizontal="center"/>
    </xf>
    <xf numFmtId="3" fontId="28" fillId="0" borderId="1" xfId="8" applyNumberFormat="1" applyFont="1" applyBorder="1" applyAlignment="1">
      <alignment horizontal="center"/>
    </xf>
    <xf numFmtId="171" fontId="28" fillId="0" borderId="1" xfId="8" applyNumberFormat="1" applyFont="1" applyFill="1" applyBorder="1"/>
    <xf numFmtId="171" fontId="27" fillId="0" borderId="1" xfId="8" applyNumberFormat="1" applyFont="1" applyBorder="1" applyAlignment="1">
      <alignment horizontal="right"/>
    </xf>
    <xf numFmtId="165" fontId="29" fillId="0" borderId="1" xfId="8" applyNumberFormat="1" applyFont="1" applyBorder="1"/>
    <xf numFmtId="0" fontId="29" fillId="0" borderId="1" xfId="8" applyFont="1" applyBorder="1" applyAlignment="1">
      <alignment horizontal="right"/>
    </xf>
    <xf numFmtId="165" fontId="27" fillId="2" borderId="1" xfId="8" applyNumberFormat="1" applyFont="1" applyFill="1" applyBorder="1"/>
    <xf numFmtId="3" fontId="27" fillId="2" borderId="1" xfId="8" applyNumberFormat="1" applyFont="1" applyFill="1" applyBorder="1" applyAlignment="1">
      <alignment horizontal="center"/>
    </xf>
    <xf numFmtId="170" fontId="27" fillId="2" borderId="1" xfId="1" applyNumberFormat="1" applyFont="1" applyFill="1" applyBorder="1" applyAlignment="1">
      <alignment horizontal="center"/>
    </xf>
    <xf numFmtId="170" fontId="27" fillId="0" borderId="1" xfId="1" applyNumberFormat="1" applyFont="1" applyFill="1" applyBorder="1" applyAlignment="1">
      <alignment horizontal="center"/>
    </xf>
    <xf numFmtId="165" fontId="31" fillId="0" borderId="1" xfId="8" applyNumberFormat="1" applyFont="1" applyBorder="1"/>
    <xf numFmtId="0" fontId="31" fillId="0" borderId="1" xfId="8" applyFont="1" applyBorder="1" applyAlignment="1">
      <alignment horizontal="right"/>
    </xf>
    <xf numFmtId="4" fontId="27" fillId="0" borderId="1" xfId="8" applyNumberFormat="1" applyFont="1" applyBorder="1"/>
    <xf numFmtId="166" fontId="27" fillId="0" borderId="1" xfId="8" applyNumberFormat="1" applyFont="1" applyBorder="1"/>
    <xf numFmtId="0" fontId="29" fillId="2" borderId="1" xfId="8" applyFont="1" applyFill="1" applyBorder="1" applyAlignment="1">
      <alignment horizontal="right"/>
    </xf>
    <xf numFmtId="165" fontId="29" fillId="0" borderId="1" xfId="8" applyNumberFormat="1" applyFont="1" applyFill="1" applyBorder="1"/>
    <xf numFmtId="0" fontId="29" fillId="0" borderId="1" xfId="8" applyFont="1" applyFill="1" applyBorder="1" applyAlignment="1">
      <alignment horizontal="right"/>
    </xf>
    <xf numFmtId="3" fontId="29" fillId="0" borderId="1" xfId="8" applyNumberFormat="1" applyFont="1" applyFill="1" applyBorder="1" applyAlignment="1">
      <alignment horizontal="center"/>
    </xf>
    <xf numFmtId="165" fontId="27" fillId="0" borderId="1" xfId="8" applyNumberFormat="1" applyFont="1" applyFill="1" applyBorder="1"/>
    <xf numFmtId="0" fontId="28" fillId="0" borderId="1" xfId="8" applyFont="1" applyFill="1" applyBorder="1" applyAlignment="1">
      <alignment horizontal="right"/>
    </xf>
    <xf numFmtId="170" fontId="28" fillId="4" borderId="1" xfId="1" applyNumberFormat="1" applyFont="1" applyFill="1" applyBorder="1"/>
    <xf numFmtId="3" fontId="28" fillId="0" borderId="1" xfId="3" applyNumberFormat="1" applyFont="1" applyFill="1" applyBorder="1" applyAlignment="1">
      <alignment horizontal="center"/>
    </xf>
    <xf numFmtId="0" fontId="28" fillId="0" borderId="1" xfId="8" applyNumberFormat="1" applyFont="1" applyFill="1" applyBorder="1"/>
    <xf numFmtId="170" fontId="28" fillId="0" borderId="1" xfId="1" applyNumberFormat="1" applyFont="1" applyFill="1" applyBorder="1"/>
    <xf numFmtId="170" fontId="27" fillId="0" borderId="1" xfId="1" applyNumberFormat="1" applyFont="1" applyFill="1" applyBorder="1" applyAlignment="1">
      <alignment horizontal="right"/>
    </xf>
    <xf numFmtId="0" fontId="28" fillId="2" borderId="1" xfId="8" applyFont="1" applyFill="1" applyBorder="1" applyAlignment="1">
      <alignment horizontal="right"/>
    </xf>
    <xf numFmtId="166" fontId="27" fillId="0" borderId="1" xfId="8" applyNumberFormat="1" applyFont="1" applyFill="1" applyBorder="1"/>
    <xf numFmtId="0" fontId="27" fillId="0" borderId="1" xfId="3" applyFont="1" applyBorder="1"/>
    <xf numFmtId="0" fontId="28" fillId="0" borderId="1" xfId="3" applyFont="1" applyBorder="1"/>
    <xf numFmtId="0" fontId="28" fillId="0" borderId="1" xfId="3" applyNumberFormat="1" applyFont="1" applyBorder="1"/>
    <xf numFmtId="0" fontId="27" fillId="0" borderId="1" xfId="8" applyFont="1" applyBorder="1" applyAlignment="1">
      <alignment horizontal="right"/>
    </xf>
    <xf numFmtId="0" fontId="28" fillId="2" borderId="1" xfId="3" applyFont="1" applyFill="1" applyBorder="1"/>
    <xf numFmtId="165" fontId="28" fillId="0" borderId="1" xfId="8" applyNumberFormat="1" applyFont="1" applyBorder="1"/>
    <xf numFmtId="0" fontId="28" fillId="0" borderId="1" xfId="3" applyNumberFormat="1" applyFont="1" applyFill="1" applyBorder="1"/>
    <xf numFmtId="170" fontId="27" fillId="0" borderId="1" xfId="1" applyNumberFormat="1" applyFont="1" applyBorder="1"/>
    <xf numFmtId="3" fontId="28" fillId="3" borderId="1" xfId="8" applyNumberFormat="1" applyFont="1" applyFill="1" applyBorder="1" applyAlignment="1">
      <alignment horizontal="center"/>
    </xf>
    <xf numFmtId="170" fontId="32" fillId="0" borderId="1" xfId="1" applyNumberFormat="1" applyFont="1" applyBorder="1"/>
    <xf numFmtId="170" fontId="32" fillId="0" borderId="1" xfId="1" applyNumberFormat="1" applyFont="1" applyFill="1" applyBorder="1"/>
    <xf numFmtId="0" fontId="27" fillId="2" borderId="1" xfId="3" applyFont="1" applyFill="1" applyBorder="1"/>
    <xf numFmtId="0" fontId="29" fillId="2" borderId="1" xfId="3" applyFont="1" applyFill="1" applyBorder="1"/>
    <xf numFmtId="3" fontId="29" fillId="2" borderId="1" xfId="3" applyNumberFormat="1" applyFont="1" applyFill="1" applyBorder="1" applyAlignment="1">
      <alignment horizontal="center"/>
    </xf>
    <xf numFmtId="0" fontId="29" fillId="0" borderId="1" xfId="8" applyNumberFormat="1" applyFont="1" applyBorder="1"/>
    <xf numFmtId="0" fontId="28" fillId="0" borderId="1" xfId="3" applyFont="1" applyFill="1" applyBorder="1"/>
    <xf numFmtId="0" fontId="30" fillId="0" borderId="1" xfId="3" applyNumberFormat="1" applyFont="1" applyBorder="1"/>
    <xf numFmtId="0" fontId="30" fillId="0" borderId="1" xfId="3" applyFont="1" applyBorder="1"/>
    <xf numFmtId="3" fontId="28" fillId="0" borderId="1" xfId="8" applyNumberFormat="1" applyFont="1" applyFill="1" applyBorder="1" applyAlignment="1">
      <alignment horizontal="right"/>
    </xf>
    <xf numFmtId="3" fontId="28" fillId="2" borderId="1" xfId="3" applyNumberFormat="1" applyFont="1" applyFill="1" applyBorder="1" applyAlignment="1">
      <alignment horizontal="center"/>
    </xf>
    <xf numFmtId="170" fontId="28" fillId="2" borderId="1" xfId="1" applyNumberFormat="1" applyFont="1" applyFill="1" applyBorder="1" applyAlignment="1">
      <alignment horizontal="center"/>
    </xf>
    <xf numFmtId="170" fontId="28" fillId="0" borderId="1" xfId="1" applyNumberFormat="1" applyFont="1" applyFill="1" applyBorder="1" applyAlignment="1">
      <alignment horizontal="center"/>
    </xf>
    <xf numFmtId="170" fontId="33" fillId="2" borderId="1" xfId="1" applyNumberFormat="1" applyFont="1" applyFill="1" applyBorder="1" applyAlignment="1">
      <alignment horizontal="center"/>
    </xf>
    <xf numFmtId="0" fontId="28" fillId="0" borderId="1" xfId="8" applyFont="1" applyBorder="1" applyAlignment="1">
      <alignment horizontal="right" wrapText="1"/>
    </xf>
    <xf numFmtId="0" fontId="27" fillId="0" borderId="1" xfId="8" applyNumberFormat="1" applyFont="1" applyBorder="1"/>
    <xf numFmtId="3" fontId="29" fillId="0" borderId="1" xfId="8" applyNumberFormat="1" applyFont="1" applyBorder="1" applyAlignment="1">
      <alignment horizontal="center"/>
    </xf>
    <xf numFmtId="3" fontId="29" fillId="2" borderId="1" xfId="3" applyNumberFormat="1" applyFont="1" applyFill="1" applyBorder="1" applyAlignment="1">
      <alignment horizontal="right"/>
    </xf>
    <xf numFmtId="3" fontId="29" fillId="0" borderId="1" xfId="3" applyNumberFormat="1" applyFont="1" applyFill="1" applyBorder="1" applyAlignment="1">
      <alignment horizontal="center"/>
    </xf>
    <xf numFmtId="0" fontId="27" fillId="0" borderId="1" xfId="8" applyNumberFormat="1" applyFont="1" applyFill="1" applyBorder="1"/>
    <xf numFmtId="170" fontId="27" fillId="0" borderId="1" xfId="1" applyNumberFormat="1" applyFont="1" applyFill="1" applyBorder="1"/>
    <xf numFmtId="3" fontId="29" fillId="2" borderId="1" xfId="3" applyNumberFormat="1" applyFont="1" applyFill="1" applyBorder="1" applyAlignment="1">
      <alignment horizontal="right" vertical="center"/>
    </xf>
    <xf numFmtId="3" fontId="29" fillId="2" borderId="1" xfId="3" applyNumberFormat="1" applyFont="1" applyFill="1" applyBorder="1" applyAlignment="1">
      <alignment horizontal="center" vertical="center"/>
    </xf>
    <xf numFmtId="170" fontId="29" fillId="2" borderId="1" xfId="1" applyNumberFormat="1" applyFont="1" applyFill="1" applyBorder="1" applyAlignment="1">
      <alignment horizontal="center" vertical="center"/>
    </xf>
    <xf numFmtId="170" fontId="29" fillId="0" borderId="1" xfId="1" applyNumberFormat="1" applyFont="1" applyFill="1" applyBorder="1" applyAlignment="1">
      <alignment horizontal="center" vertical="center"/>
    </xf>
    <xf numFmtId="164" fontId="27" fillId="8" borderId="2" xfId="2" applyNumberFormat="1" applyFont="1" applyFill="1" applyBorder="1" applyAlignment="1">
      <alignment horizontal="center"/>
    </xf>
    <xf numFmtId="3" fontId="28" fillId="0" borderId="2" xfId="2" applyNumberFormat="1" applyFont="1" applyBorder="1" applyAlignment="1">
      <alignment horizontal="right"/>
    </xf>
    <xf numFmtId="3" fontId="28" fillId="0" borderId="2" xfId="2" applyNumberFormat="1" applyFont="1" applyBorder="1" applyAlignment="1">
      <alignment horizontal="center"/>
    </xf>
    <xf numFmtId="3" fontId="28" fillId="0" borderId="2" xfId="2" applyNumberFormat="1" applyFont="1" applyFill="1" applyBorder="1" applyAlignment="1">
      <alignment horizontal="center"/>
    </xf>
    <xf numFmtId="3" fontId="28" fillId="8" borderId="2" xfId="2" applyNumberFormat="1" applyFont="1" applyFill="1" applyBorder="1" applyAlignment="1">
      <alignment horizontal="center"/>
    </xf>
    <xf numFmtId="170" fontId="28" fillId="8" borderId="2" xfId="1" applyNumberFormat="1" applyFont="1" applyFill="1" applyBorder="1" applyAlignment="1">
      <alignment horizontal="center"/>
    </xf>
    <xf numFmtId="2" fontId="34" fillId="0" borderId="2" xfId="2" applyNumberFormat="1" applyFont="1" applyFill="1" applyBorder="1" applyAlignment="1">
      <alignment horizontal="center"/>
    </xf>
    <xf numFmtId="164" fontId="27" fillId="8" borderId="1" xfId="2" applyNumberFormat="1" applyFont="1" applyFill="1" applyBorder="1" applyAlignment="1">
      <alignment horizontal="center"/>
    </xf>
    <xf numFmtId="3" fontId="28" fillId="0" borderId="1" xfId="2" applyNumberFormat="1" applyFont="1" applyBorder="1" applyAlignment="1">
      <alignment horizontal="right"/>
    </xf>
    <xf numFmtId="3" fontId="28" fillId="0" borderId="1" xfId="2" applyNumberFormat="1" applyFont="1" applyBorder="1" applyAlignment="1">
      <alignment horizontal="center"/>
    </xf>
    <xf numFmtId="2" fontId="34" fillId="0" borderId="1" xfId="2" applyNumberFormat="1" applyFont="1" applyFill="1" applyBorder="1" applyAlignment="1">
      <alignment horizontal="center"/>
    </xf>
    <xf numFmtId="164" fontId="27" fillId="0" borderId="1" xfId="2" applyNumberFormat="1" applyFont="1" applyFill="1" applyBorder="1" applyAlignment="1">
      <alignment horizontal="center"/>
    </xf>
    <xf numFmtId="170" fontId="28" fillId="0" borderId="2" xfId="1" applyNumberFormat="1" applyFont="1" applyBorder="1" applyAlignment="1">
      <alignment horizontal="center"/>
    </xf>
    <xf numFmtId="3" fontId="28" fillId="5" borderId="2" xfId="2" applyNumberFormat="1" applyFont="1" applyFill="1" applyBorder="1" applyAlignment="1">
      <alignment horizontal="center"/>
    </xf>
    <xf numFmtId="3" fontId="35" fillId="0" borderId="2" xfId="2" applyNumberFormat="1" applyFont="1" applyBorder="1" applyAlignment="1">
      <alignment horizontal="center"/>
    </xf>
    <xf numFmtId="0" fontId="28" fillId="0" borderId="1" xfId="2" applyFont="1" applyFill="1" applyBorder="1" applyAlignment="1">
      <alignment horizontal="right"/>
    </xf>
    <xf numFmtId="3" fontId="28" fillId="0" borderId="1" xfId="2" applyNumberFormat="1" applyFont="1" applyFill="1" applyBorder="1" applyAlignment="1">
      <alignment horizontal="right"/>
    </xf>
    <xf numFmtId="3" fontId="28" fillId="0" borderId="2" xfId="2" applyNumberFormat="1" applyFont="1" applyFill="1" applyBorder="1" applyAlignment="1">
      <alignment horizontal="right"/>
    </xf>
    <xf numFmtId="3" fontId="28" fillId="0" borderId="1" xfId="2" applyNumberFormat="1" applyFont="1" applyFill="1" applyBorder="1" applyAlignment="1">
      <alignment horizontal="center"/>
    </xf>
    <xf numFmtId="170" fontId="28" fillId="0" borderId="2" xfId="1" applyNumberFormat="1" applyFont="1" applyFill="1" applyBorder="1" applyAlignment="1">
      <alignment horizontal="center"/>
    </xf>
    <xf numFmtId="3" fontId="35" fillId="0" borderId="2" xfId="2" applyNumberFormat="1" applyFont="1" applyFill="1" applyBorder="1" applyAlignment="1">
      <alignment horizontal="center"/>
    </xf>
    <xf numFmtId="3" fontId="34" fillId="0" borderId="2" xfId="2" applyNumberFormat="1" applyFont="1" applyBorder="1" applyAlignment="1">
      <alignment horizontal="center"/>
    </xf>
    <xf numFmtId="3" fontId="34" fillId="0" borderId="2" xfId="2" applyNumberFormat="1" applyFont="1" applyFill="1" applyBorder="1" applyAlignment="1">
      <alignment horizontal="center"/>
    </xf>
    <xf numFmtId="3" fontId="34" fillId="8" borderId="2" xfId="2" applyNumberFormat="1" applyFont="1" applyFill="1" applyBorder="1" applyAlignment="1">
      <alignment horizontal="center"/>
    </xf>
    <xf numFmtId="164" fontId="27" fillId="2" borderId="1" xfId="2" applyNumberFormat="1" applyFont="1" applyFill="1" applyBorder="1" applyAlignment="1">
      <alignment horizontal="center"/>
    </xf>
    <xf numFmtId="3" fontId="29" fillId="2" borderId="1" xfId="2" applyNumberFormat="1" applyFont="1" applyFill="1" applyBorder="1" applyAlignment="1">
      <alignment horizontal="right"/>
    </xf>
    <xf numFmtId="3" fontId="29" fillId="2" borderId="1" xfId="2" applyNumberFormat="1" applyFont="1" applyFill="1" applyBorder="1" applyAlignment="1">
      <alignment horizontal="center"/>
    </xf>
    <xf numFmtId="3" fontId="29" fillId="0" borderId="1" xfId="2" applyNumberFormat="1" applyFont="1" applyFill="1" applyBorder="1" applyAlignment="1">
      <alignment horizontal="center"/>
    </xf>
    <xf numFmtId="164" fontId="27" fillId="0" borderId="1" xfId="2" applyNumberFormat="1" applyFont="1" applyBorder="1" applyAlignment="1">
      <alignment horizontal="center"/>
    </xf>
    <xf numFmtId="3" fontId="29" fillId="2" borderId="2" xfId="2" applyNumberFormat="1" applyFont="1" applyFill="1" applyBorder="1" applyAlignment="1">
      <alignment horizontal="right"/>
    </xf>
    <xf numFmtId="3" fontId="29" fillId="2" borderId="2" xfId="2" applyNumberFormat="1" applyFont="1" applyFill="1" applyBorder="1" applyAlignment="1">
      <alignment horizontal="center"/>
    </xf>
    <xf numFmtId="3" fontId="29" fillId="0" borderId="2" xfId="2" applyNumberFormat="1" applyFont="1" applyFill="1" applyBorder="1" applyAlignment="1">
      <alignment horizontal="center"/>
    </xf>
    <xf numFmtId="170" fontId="29" fillId="2" borderId="2" xfId="1" applyNumberFormat="1" applyFont="1" applyFill="1" applyBorder="1" applyAlignment="1">
      <alignment horizontal="center"/>
    </xf>
    <xf numFmtId="4" fontId="34" fillId="0" borderId="1" xfId="2" applyNumberFormat="1" applyFont="1" applyFill="1" applyBorder="1" applyAlignment="1">
      <alignment horizontal="center"/>
    </xf>
    <xf numFmtId="4" fontId="36" fillId="0" borderId="1" xfId="2" applyNumberFormat="1" applyFont="1" applyFill="1" applyBorder="1" applyAlignment="1">
      <alignment horizontal="center"/>
    </xf>
    <xf numFmtId="170" fontId="28" fillId="8" borderId="2" xfId="1" applyNumberFormat="1" applyFont="1" applyFill="1" applyBorder="1" applyAlignment="1">
      <alignment horizontal="right"/>
    </xf>
    <xf numFmtId="0" fontId="28" fillId="2" borderId="1" xfId="2" applyFont="1" applyFill="1" applyBorder="1"/>
    <xf numFmtId="3" fontId="29" fillId="0" borderId="1" xfId="2" applyNumberFormat="1" applyFont="1" applyFill="1" applyBorder="1" applyAlignment="1">
      <alignment horizontal="right"/>
    </xf>
    <xf numFmtId="3" fontId="29" fillId="0" borderId="2" xfId="2" applyNumberFormat="1" applyFont="1" applyFill="1" applyBorder="1" applyAlignment="1">
      <alignment horizontal="right"/>
    </xf>
    <xf numFmtId="3" fontId="28" fillId="8" borderId="2" xfId="2" applyNumberFormat="1" applyFont="1" applyFill="1" applyBorder="1" applyAlignment="1">
      <alignment horizontal="right"/>
    </xf>
    <xf numFmtId="3" fontId="28" fillId="6" borderId="2" xfId="2" applyNumberFormat="1" applyFont="1" applyFill="1" applyBorder="1" applyAlignment="1">
      <alignment horizontal="center"/>
    </xf>
    <xf numFmtId="165" fontId="27" fillId="8" borderId="1" xfId="8" applyNumberFormat="1" applyFont="1" applyFill="1" applyBorder="1" applyAlignment="1">
      <alignment horizontal="center"/>
    </xf>
    <xf numFmtId="165" fontId="27" fillId="0" borderId="1" xfId="8" applyNumberFormat="1" applyFont="1" applyFill="1" applyBorder="1" applyAlignment="1">
      <alignment horizontal="center"/>
    </xf>
    <xf numFmtId="165" fontId="27" fillId="0" borderId="1" xfId="8" applyNumberFormat="1" applyFont="1" applyBorder="1" applyAlignment="1">
      <alignment horizontal="center"/>
    </xf>
    <xf numFmtId="165" fontId="27" fillId="2" borderId="1" xfId="8" applyNumberFormat="1" applyFont="1" applyFill="1" applyBorder="1" applyAlignment="1">
      <alignment horizontal="center"/>
    </xf>
    <xf numFmtId="4" fontId="37" fillId="0" borderId="1" xfId="2" applyNumberFormat="1" applyFont="1" applyFill="1" applyBorder="1" applyAlignment="1">
      <alignment horizontal="center"/>
    </xf>
    <xf numFmtId="0" fontId="28" fillId="0" borderId="1" xfId="2" applyFont="1" applyBorder="1" applyAlignment="1">
      <alignment horizontal="right" wrapText="1"/>
    </xf>
    <xf numFmtId="0" fontId="28" fillId="0" borderId="1" xfId="2" applyFont="1" applyFill="1" applyBorder="1" applyAlignment="1">
      <alignment horizontal="right" wrapText="1"/>
    </xf>
    <xf numFmtId="3" fontId="29" fillId="7" borderId="1" xfId="2" applyNumberFormat="1" applyFont="1" applyFill="1" applyBorder="1" applyAlignment="1">
      <alignment horizontal="right"/>
    </xf>
    <xf numFmtId="3" fontId="29" fillId="7" borderId="2" xfId="2" applyNumberFormat="1" applyFont="1" applyFill="1" applyBorder="1" applyAlignment="1">
      <alignment horizontal="right"/>
    </xf>
    <xf numFmtId="3" fontId="28" fillId="7" borderId="2" xfId="2" applyNumberFormat="1" applyFont="1" applyFill="1" applyBorder="1" applyAlignment="1">
      <alignment horizontal="center"/>
    </xf>
    <xf numFmtId="3" fontId="28" fillId="7" borderId="1" xfId="2" applyNumberFormat="1" applyFont="1" applyFill="1" applyBorder="1" applyAlignment="1">
      <alignment horizontal="center"/>
    </xf>
    <xf numFmtId="2" fontId="34" fillId="7" borderId="1" xfId="2" applyNumberFormat="1" applyFont="1" applyFill="1" applyBorder="1" applyAlignment="1">
      <alignment horizontal="center"/>
    </xf>
    <xf numFmtId="2" fontId="34" fillId="8" borderId="1" xfId="2" applyNumberFormat="1" applyFont="1" applyFill="1" applyBorder="1" applyAlignment="1">
      <alignment horizontal="center"/>
    </xf>
    <xf numFmtId="3" fontId="28" fillId="13" borderId="2" xfId="2" applyNumberFormat="1" applyFont="1" applyFill="1" applyBorder="1" applyAlignment="1">
      <alignment horizontal="center"/>
    </xf>
    <xf numFmtId="165" fontId="27" fillId="12" borderId="1" xfId="8" applyNumberFormat="1" applyFont="1" applyFill="1" applyBorder="1" applyAlignment="1">
      <alignment horizontal="center"/>
    </xf>
    <xf numFmtId="43" fontId="29" fillId="2" borderId="1" xfId="1" applyFont="1" applyFill="1" applyBorder="1" applyAlignment="1">
      <alignment horizontal="center"/>
    </xf>
    <xf numFmtId="0" fontId="28" fillId="0" borderId="1" xfId="2" applyFont="1" applyFill="1" applyBorder="1"/>
    <xf numFmtId="170" fontId="29" fillId="0" borderId="2" xfId="1" applyNumberFormat="1" applyFont="1" applyFill="1" applyBorder="1" applyAlignment="1">
      <alignment horizontal="center"/>
    </xf>
    <xf numFmtId="165" fontId="27" fillId="0" borderId="1" xfId="2" applyNumberFormat="1" applyFont="1" applyBorder="1" applyAlignment="1">
      <alignment horizontal="center"/>
    </xf>
    <xf numFmtId="165" fontId="27" fillId="8" borderId="1" xfId="2" applyNumberFormat="1" applyFont="1" applyFill="1" applyBorder="1" applyAlignment="1">
      <alignment horizontal="center"/>
    </xf>
    <xf numFmtId="165" fontId="28" fillId="0" borderId="1" xfId="2" applyNumberFormat="1" applyFont="1" applyFill="1" applyBorder="1" applyAlignment="1">
      <alignment horizontal="center"/>
    </xf>
    <xf numFmtId="164" fontId="27" fillId="2" borderId="1" xfId="2" applyNumberFormat="1" applyFont="1" applyFill="1" applyBorder="1"/>
    <xf numFmtId="165" fontId="27" fillId="0" borderId="1" xfId="2" applyNumberFormat="1" applyFont="1" applyFill="1" applyBorder="1" applyAlignment="1">
      <alignment horizontal="center"/>
    </xf>
    <xf numFmtId="3" fontId="28" fillId="8" borderId="1" xfId="2" applyNumberFormat="1" applyFont="1" applyFill="1" applyBorder="1" applyAlignment="1">
      <alignment horizontal="center"/>
    </xf>
    <xf numFmtId="0" fontId="28" fillId="0" borderId="1" xfId="2" applyFont="1" applyBorder="1"/>
    <xf numFmtId="170" fontId="28" fillId="0" borderId="2" xfId="1" applyNumberFormat="1" applyFont="1" applyBorder="1" applyAlignment="1"/>
    <xf numFmtId="3" fontId="28" fillId="0" borderId="4" xfId="2" applyNumberFormat="1" applyFont="1" applyFill="1" applyBorder="1" applyAlignment="1">
      <alignment horizontal="center"/>
    </xf>
    <xf numFmtId="3" fontId="28" fillId="0" borderId="5" xfId="2" applyNumberFormat="1" applyFont="1" applyFill="1" applyBorder="1" applyAlignment="1">
      <alignment horizontal="center"/>
    </xf>
    <xf numFmtId="3" fontId="28" fillId="0" borderId="5" xfId="2" applyNumberFormat="1" applyFont="1" applyBorder="1" applyAlignment="1">
      <alignment horizontal="center"/>
    </xf>
    <xf numFmtId="170" fontId="28" fillId="0" borderId="5" xfId="1" applyNumberFormat="1" applyFont="1" applyBorder="1" applyAlignment="1">
      <alignment horizontal="center"/>
    </xf>
    <xf numFmtId="2" fontId="34" fillId="0" borderId="4" xfId="2" applyNumberFormat="1" applyFont="1" applyFill="1" applyBorder="1" applyAlignment="1">
      <alignment horizontal="center"/>
    </xf>
    <xf numFmtId="3" fontId="37" fillId="2" borderId="1" xfId="2" applyNumberFormat="1" applyFont="1" applyFill="1" applyBorder="1" applyAlignment="1">
      <alignment horizontal="center"/>
    </xf>
    <xf numFmtId="4" fontId="29" fillId="0" borderId="1" xfId="2" applyNumberFormat="1" applyFont="1" applyBorder="1" applyAlignment="1">
      <alignment horizontal="right"/>
    </xf>
    <xf numFmtId="4" fontId="29" fillId="0" borderId="1" xfId="2" applyNumberFormat="1" applyFont="1" applyBorder="1" applyAlignment="1">
      <alignment horizontal="center"/>
    </xf>
    <xf numFmtId="4" fontId="29" fillId="0" borderId="2" xfId="2" applyNumberFormat="1" applyFont="1" applyBorder="1" applyAlignment="1">
      <alignment horizontal="center"/>
    </xf>
    <xf numFmtId="164" fontId="28" fillId="0" borderId="1" xfId="2" applyNumberFormat="1" applyFont="1" applyFill="1" applyBorder="1" applyAlignment="1">
      <alignment horizontal="center"/>
    </xf>
    <xf numFmtId="164" fontId="28" fillId="0" borderId="1" xfId="2" applyNumberFormat="1" applyFont="1" applyBorder="1" applyAlignment="1">
      <alignment horizontal="center"/>
    </xf>
    <xf numFmtId="170" fontId="28" fillId="0" borderId="2" xfId="1" applyNumberFormat="1" applyFont="1" applyBorder="1" applyAlignment="1">
      <alignment horizontal="right"/>
    </xf>
    <xf numFmtId="164" fontId="27" fillId="0" borderId="1" xfId="2" applyNumberFormat="1" applyFont="1" applyBorder="1"/>
    <xf numFmtId="3" fontId="29" fillId="2" borderId="1" xfId="2" applyNumberFormat="1" applyFont="1" applyFill="1" applyBorder="1" applyAlignment="1">
      <alignment horizontal="right" vertical="center"/>
    </xf>
    <xf numFmtId="3" fontId="29" fillId="2" borderId="1" xfId="2" applyNumberFormat="1" applyFont="1" applyFill="1" applyBorder="1" applyAlignment="1">
      <alignment horizontal="center" vertical="center"/>
    </xf>
    <xf numFmtId="3" fontId="29" fillId="0" borderId="1" xfId="2" applyNumberFormat="1" applyFont="1" applyFill="1" applyBorder="1" applyAlignment="1">
      <alignment horizontal="center" vertical="center"/>
    </xf>
    <xf numFmtId="164" fontId="19" fillId="2" borderId="1" xfId="2" applyNumberFormat="1" applyFont="1" applyFill="1" applyBorder="1" applyAlignment="1">
      <alignment horizontal="center"/>
    </xf>
    <xf numFmtId="0" fontId="19" fillId="2" borderId="1" xfId="2" applyFont="1" applyFill="1" applyBorder="1" applyAlignment="1">
      <alignment horizontal="center"/>
    </xf>
    <xf numFmtId="0" fontId="19" fillId="2" borderId="1" xfId="2" applyFont="1" applyFill="1" applyBorder="1" applyAlignment="1">
      <alignment horizontal="center" wrapText="1"/>
    </xf>
    <xf numFmtId="0" fontId="19" fillId="4" borderId="1" xfId="2" applyFont="1" applyFill="1" applyBorder="1" applyAlignment="1">
      <alignment horizontal="center" wrapText="1"/>
    </xf>
    <xf numFmtId="0" fontId="19" fillId="0" borderId="1" xfId="2" applyFont="1" applyFill="1" applyBorder="1" applyAlignment="1">
      <alignment horizontal="center" wrapText="1"/>
    </xf>
    <xf numFmtId="0" fontId="19" fillId="2" borderId="1" xfId="4" applyFont="1" applyFill="1" applyBorder="1" applyAlignment="1">
      <alignment horizontal="center" vertical="justify"/>
    </xf>
    <xf numFmtId="0" fontId="29" fillId="2" borderId="1" xfId="2" applyFont="1" applyFill="1" applyBorder="1" applyAlignment="1">
      <alignment horizontal="right" wrapText="1"/>
    </xf>
    <xf numFmtId="0" fontId="19" fillId="2" borderId="1" xfId="2" applyFont="1" applyFill="1" applyBorder="1" applyAlignment="1">
      <alignment horizontal="right" wrapText="1"/>
    </xf>
    <xf numFmtId="0" fontId="28" fillId="0" borderId="2" xfId="2" applyFont="1" applyBorder="1" applyAlignment="1">
      <alignment horizontal="right" wrapText="1"/>
    </xf>
    <xf numFmtId="0" fontId="28" fillId="7" borderId="1" xfId="2" applyFont="1" applyFill="1" applyBorder="1" applyAlignment="1">
      <alignment horizontal="right" wrapText="1"/>
    </xf>
    <xf numFmtId="0" fontId="29" fillId="0" borderId="1" xfId="2" applyFont="1" applyFill="1" applyBorder="1" applyAlignment="1">
      <alignment horizontal="right" wrapText="1"/>
    </xf>
    <xf numFmtId="0" fontId="27" fillId="0" borderId="1" xfId="2" applyFont="1" applyBorder="1" applyAlignment="1">
      <alignment horizontal="right" wrapText="1"/>
    </xf>
    <xf numFmtId="0" fontId="28" fillId="0" borderId="1" xfId="8" applyFont="1" applyFill="1" applyBorder="1" applyAlignment="1">
      <alignment horizontal="right" wrapText="1"/>
    </xf>
    <xf numFmtId="0" fontId="28" fillId="0" borderId="1" xfId="2" applyFont="1" applyBorder="1" applyAlignment="1">
      <alignment wrapText="1"/>
    </xf>
    <xf numFmtId="0" fontId="29" fillId="0" borderId="1" xfId="8" applyFont="1" applyBorder="1" applyAlignment="1">
      <alignment horizontal="right" wrapText="1"/>
    </xf>
    <xf numFmtId="0" fontId="29" fillId="0" borderId="1" xfId="2" applyFont="1" applyBorder="1" applyAlignment="1">
      <alignment horizontal="right" wrapText="1"/>
    </xf>
    <xf numFmtId="0" fontId="29" fillId="2" borderId="1" xfId="8" applyFont="1" applyFill="1" applyBorder="1" applyAlignment="1">
      <alignment horizontal="right" wrapText="1"/>
    </xf>
    <xf numFmtId="0" fontId="29" fillId="2" borderId="1" xfId="2" applyFont="1" applyFill="1" applyBorder="1" applyAlignment="1">
      <alignment horizontal="right" vertical="center" wrapText="1"/>
    </xf>
    <xf numFmtId="0" fontId="13" fillId="0" borderId="0" xfId="2" applyFont="1" applyBorder="1" applyAlignment="1">
      <alignment horizontal="right" wrapText="1"/>
    </xf>
    <xf numFmtId="0" fontId="8" fillId="0" borderId="0" xfId="2" applyFont="1" applyBorder="1" applyAlignment="1">
      <alignment horizontal="right" wrapText="1"/>
    </xf>
    <xf numFmtId="0" fontId="0" fillId="0" borderId="0" xfId="0" applyAlignment="1">
      <alignment wrapText="1"/>
    </xf>
    <xf numFmtId="0" fontId="1" fillId="0" borderId="0" xfId="0" applyFont="1"/>
    <xf numFmtId="0" fontId="9" fillId="0" borderId="0" xfId="7" applyFont="1"/>
    <xf numFmtId="0" fontId="4" fillId="0" borderId="14" xfId="7" applyFont="1" applyFill="1" applyBorder="1" applyAlignment="1">
      <alignment horizontal="center"/>
    </xf>
    <xf numFmtId="0" fontId="7" fillId="0" borderId="0" xfId="7" applyFont="1" applyFill="1" applyBorder="1" applyAlignment="1">
      <alignment horizontal="right"/>
    </xf>
    <xf numFmtId="0" fontId="9" fillId="0" borderId="0" xfId="7" applyFont="1" applyFill="1" applyBorder="1" applyAlignment="1">
      <alignment horizontal="center"/>
    </xf>
    <xf numFmtId="0" fontId="9" fillId="0" borderId="0" xfId="7" applyFont="1" applyFill="1" applyBorder="1"/>
    <xf numFmtId="0" fontId="1" fillId="0" borderId="0" xfId="0" applyFont="1" applyFill="1" applyBorder="1"/>
    <xf numFmtId="0" fontId="9" fillId="0" borderId="15" xfId="7" applyFont="1" applyBorder="1"/>
    <xf numFmtId="0" fontId="1" fillId="0" borderId="0" xfId="0" applyFont="1" applyAlignment="1">
      <alignment horizontal="center" vertical="center" wrapText="1"/>
    </xf>
    <xf numFmtId="0" fontId="4" fillId="3" borderId="1" xfId="7" applyFont="1" applyFill="1" applyBorder="1" applyAlignment="1">
      <alignment horizontal="center" vertical="center" wrapText="1"/>
    </xf>
    <xf numFmtId="3" fontId="4" fillId="3" borderId="1" xfId="7" applyNumberFormat="1" applyFont="1" applyFill="1" applyBorder="1" applyAlignment="1">
      <alignment horizontal="center" vertical="center" wrapText="1"/>
    </xf>
    <xf numFmtId="0" fontId="7" fillId="3" borderId="1" xfId="7" applyFont="1" applyFill="1" applyBorder="1" applyAlignment="1">
      <alignment horizontal="center" vertical="center" wrapText="1"/>
    </xf>
    <xf numFmtId="0" fontId="19" fillId="3" borderId="1" xfId="7" applyFont="1" applyFill="1" applyBorder="1" applyAlignment="1">
      <alignment horizontal="center" vertical="center" wrapText="1"/>
    </xf>
    <xf numFmtId="0" fontId="9" fillId="0" borderId="0" xfId="7" applyFont="1" applyAlignment="1">
      <alignment horizontal="center" vertical="center" wrapText="1"/>
    </xf>
    <xf numFmtId="0" fontId="26" fillId="3" borderId="1" xfId="7" applyFont="1" applyFill="1" applyBorder="1" applyAlignment="1">
      <alignment horizontal="right"/>
    </xf>
    <xf numFmtId="3" fontId="26" fillId="3" borderId="1" xfId="7" applyNumberFormat="1" applyFont="1" applyFill="1" applyBorder="1" applyAlignment="1">
      <alignment horizontal="center"/>
    </xf>
    <xf numFmtId="3" fontId="26" fillId="9" borderId="1" xfId="7" applyNumberFormat="1" applyFont="1" applyFill="1" applyBorder="1" applyAlignment="1">
      <alignment horizontal="center"/>
    </xf>
    <xf numFmtId="3" fontId="26" fillId="0" borderId="1" xfId="7" applyNumberFormat="1" applyFont="1" applyFill="1" applyBorder="1" applyAlignment="1">
      <alignment horizontal="center"/>
    </xf>
    <xf numFmtId="0" fontId="9" fillId="0" borderId="0" xfId="7" applyFont="1" applyBorder="1"/>
    <xf numFmtId="0" fontId="1" fillId="0" borderId="0" xfId="0" applyFont="1" applyBorder="1"/>
    <xf numFmtId="3" fontId="26" fillId="0" borderId="0" xfId="7" applyNumberFormat="1" applyFont="1" applyBorder="1" applyAlignment="1">
      <alignment horizontal="center"/>
    </xf>
    <xf numFmtId="0" fontId="38" fillId="3" borderId="1" xfId="7" applyFont="1" applyFill="1" applyBorder="1" applyAlignment="1">
      <alignment horizontal="right"/>
    </xf>
    <xf numFmtId="3" fontId="38" fillId="3" borderId="1" xfId="7" applyNumberFormat="1" applyFont="1" applyFill="1" applyBorder="1" applyAlignment="1">
      <alignment horizontal="center"/>
    </xf>
    <xf numFmtId="0" fontId="26" fillId="0" borderId="1" xfId="7" applyFont="1" applyBorder="1" applyAlignment="1">
      <alignment horizontal="right"/>
    </xf>
    <xf numFmtId="3" fontId="26" fillId="0" borderId="1" xfId="7" applyNumberFormat="1" applyFont="1" applyBorder="1" applyAlignment="1">
      <alignment horizontal="center"/>
    </xf>
    <xf numFmtId="0" fontId="9" fillId="0" borderId="1" xfId="7" applyFont="1" applyBorder="1"/>
    <xf numFmtId="3" fontId="26" fillId="10" borderId="1" xfId="7" applyNumberFormat="1" applyFont="1" applyFill="1" applyBorder="1" applyAlignment="1">
      <alignment horizontal="center"/>
    </xf>
    <xf numFmtId="9" fontId="9" fillId="0" borderId="0" xfId="7" applyNumberFormat="1" applyFont="1"/>
    <xf numFmtId="3" fontId="9" fillId="0" borderId="0" xfId="7" applyNumberFormat="1" applyFont="1"/>
    <xf numFmtId="0" fontId="26" fillId="0" borderId="0" xfId="7" applyFont="1" applyAlignment="1">
      <alignment horizontal="right"/>
    </xf>
    <xf numFmtId="3" fontId="26" fillId="0" borderId="0" xfId="7" applyNumberFormat="1" applyFont="1" applyAlignment="1">
      <alignment horizontal="center"/>
    </xf>
    <xf numFmtId="0" fontId="26" fillId="0" borderId="0" xfId="7" applyNumberFormat="1" applyFont="1" applyAlignment="1">
      <alignment horizontal="right"/>
    </xf>
    <xf numFmtId="9" fontId="9" fillId="0" borderId="0" xfId="9" applyFont="1" applyAlignment="1">
      <alignment horizontal="center"/>
    </xf>
    <xf numFmtId="0" fontId="39" fillId="8" borderId="13" xfId="6" applyFont="1" applyFill="1" applyBorder="1" applyAlignment="1">
      <alignment horizontal="center" vertical="center" wrapText="1"/>
    </xf>
    <xf numFmtId="0" fontId="19" fillId="8" borderId="13" xfId="6" applyFont="1" applyFill="1" applyBorder="1" applyAlignment="1">
      <alignment horizontal="center" vertical="center" wrapText="1"/>
    </xf>
    <xf numFmtId="3" fontId="19" fillId="8" borderId="13" xfId="5" applyNumberFormat="1" applyFont="1" applyFill="1" applyBorder="1" applyAlignment="1">
      <alignment horizontal="center" vertical="center" wrapText="1"/>
    </xf>
    <xf numFmtId="3" fontId="26" fillId="8" borderId="13" xfId="5" applyNumberFormat="1" applyFont="1" applyFill="1" applyBorder="1" applyAlignment="1">
      <alignment horizontal="center" vertical="center" wrapText="1"/>
    </xf>
    <xf numFmtId="0" fontId="19" fillId="8" borderId="13" xfId="7" applyFont="1" applyFill="1" applyBorder="1"/>
    <xf numFmtId="0" fontId="19" fillId="8" borderId="13" xfId="6" applyFont="1" applyFill="1" applyBorder="1" applyAlignment="1">
      <alignment horizontal="center" wrapText="1"/>
    </xf>
    <xf numFmtId="0" fontId="4" fillId="8" borderId="13" xfId="6" applyFont="1" applyFill="1" applyBorder="1" applyAlignment="1">
      <alignment horizontal="center" vertical="center" wrapText="1"/>
    </xf>
    <xf numFmtId="0" fontId="4" fillId="0" borderId="13" xfId="6" applyFont="1" applyBorder="1" applyAlignment="1">
      <alignment horizontal="center" vertical="center" wrapText="1"/>
    </xf>
    <xf numFmtId="3" fontId="4" fillId="0" borderId="13" xfId="6" applyNumberFormat="1" applyFont="1" applyBorder="1" applyAlignment="1">
      <alignment horizontal="center" vertical="center" wrapText="1"/>
    </xf>
    <xf numFmtId="3" fontId="9" fillId="0" borderId="13" xfId="6" applyNumberFormat="1" applyFont="1" applyBorder="1" applyAlignment="1">
      <alignment horizontal="center" vertical="center" wrapText="1"/>
    </xf>
    <xf numFmtId="0" fontId="1" fillId="0" borderId="13" xfId="0" applyFont="1" applyBorder="1"/>
    <xf numFmtId="0" fontId="26" fillId="8" borderId="13" xfId="6" applyFont="1" applyFill="1" applyBorder="1" applyAlignment="1">
      <alignment horizontal="right" vertical="center"/>
    </xf>
    <xf numFmtId="0" fontId="26" fillId="0" borderId="13" xfId="6" applyFont="1" applyBorder="1" applyAlignment="1">
      <alignment horizontal="right" vertical="center"/>
    </xf>
    <xf numFmtId="3" fontId="26" fillId="0" borderId="13" xfId="6" applyNumberFormat="1" applyFont="1" applyBorder="1" applyAlignment="1">
      <alignment horizontal="center" vertical="center"/>
    </xf>
    <xf numFmtId="3" fontId="9" fillId="0" borderId="13" xfId="6" applyNumberFormat="1" applyFont="1" applyBorder="1" applyAlignment="1">
      <alignment horizontal="center" vertical="center"/>
    </xf>
    <xf numFmtId="0" fontId="9" fillId="8" borderId="13" xfId="6" applyFont="1" applyFill="1" applyBorder="1" applyAlignment="1">
      <alignment vertical="center"/>
    </xf>
    <xf numFmtId="0" fontId="9" fillId="0" borderId="13" xfId="6" applyFont="1" applyBorder="1" applyAlignment="1">
      <alignment vertical="center"/>
    </xf>
    <xf numFmtId="0" fontId="38" fillId="8" borderId="13" xfId="6" applyFont="1" applyFill="1" applyBorder="1" applyAlignment="1">
      <alignment horizontal="center" vertical="center"/>
    </xf>
    <xf numFmtId="0" fontId="38" fillId="0" borderId="13" xfId="6" applyFont="1" applyBorder="1" applyAlignment="1">
      <alignment horizontal="center" vertical="center"/>
    </xf>
    <xf numFmtId="3" fontId="38" fillId="0" borderId="13" xfId="6" applyNumberFormat="1" applyFont="1" applyBorder="1" applyAlignment="1">
      <alignment horizontal="center" vertical="center"/>
    </xf>
    <xf numFmtId="3" fontId="26" fillId="8" borderId="13" xfId="6" applyNumberFormat="1" applyFont="1" applyFill="1" applyBorder="1" applyAlignment="1">
      <alignment horizontal="center" vertical="center"/>
    </xf>
    <xf numFmtId="3" fontId="9" fillId="8" borderId="13" xfId="6" applyNumberFormat="1" applyFont="1" applyFill="1" applyBorder="1" applyAlignment="1">
      <alignment horizontal="center" vertical="center"/>
    </xf>
    <xf numFmtId="0" fontId="1" fillId="8" borderId="13" xfId="0" applyFont="1" applyFill="1" applyBorder="1"/>
    <xf numFmtId="0" fontId="38" fillId="0" borderId="0" xfId="6" applyFont="1" applyBorder="1" applyAlignment="1">
      <alignment horizontal="center"/>
    </xf>
    <xf numFmtId="3" fontId="38" fillId="0" borderId="0" xfId="6" applyNumberFormat="1" applyFont="1" applyBorder="1" applyAlignment="1">
      <alignment horizontal="center"/>
    </xf>
    <xf numFmtId="3" fontId="9" fillId="0" borderId="0" xfId="6" applyNumberFormat="1" applyFont="1" applyBorder="1" applyAlignment="1">
      <alignment horizontal="center"/>
    </xf>
    <xf numFmtId="0" fontId="40" fillId="0" borderId="0" xfId="6" applyFont="1" applyBorder="1" applyAlignment="1">
      <alignment horizontal="center"/>
    </xf>
    <xf numFmtId="3" fontId="40" fillId="0" borderId="0" xfId="6" applyNumberFormat="1" applyFont="1" applyBorder="1" applyAlignment="1">
      <alignment horizontal="center"/>
    </xf>
    <xf numFmtId="0" fontId="39" fillId="8" borderId="10" xfId="5" applyFont="1" applyFill="1" applyBorder="1" applyAlignment="1">
      <alignment horizontal="center" vertical="center" wrapText="1"/>
    </xf>
    <xf numFmtId="0" fontId="39" fillId="8" borderId="6" xfId="5" applyFont="1" applyFill="1" applyBorder="1" applyAlignment="1">
      <alignment horizontal="center" vertical="center" wrapText="1"/>
    </xf>
    <xf numFmtId="3" fontId="39" fillId="8" borderId="6" xfId="5" applyNumberFormat="1" applyFont="1" applyFill="1" applyBorder="1" applyAlignment="1">
      <alignment horizontal="center" vertical="center" wrapText="1"/>
    </xf>
    <xf numFmtId="0" fontId="7" fillId="8" borderId="7" xfId="7" applyFont="1" applyFill="1" applyBorder="1"/>
    <xf numFmtId="0" fontId="7" fillId="8" borderId="13" xfId="7" applyFont="1" applyFill="1" applyBorder="1"/>
    <xf numFmtId="0" fontId="39" fillId="8" borderId="8" xfId="5" applyFont="1" applyFill="1" applyBorder="1" applyAlignment="1">
      <alignment horizontal="center" vertical="center" wrapText="1"/>
    </xf>
    <xf numFmtId="0" fontId="39" fillId="0" borderId="1" xfId="5" applyFont="1" applyFill="1" applyBorder="1" applyAlignment="1">
      <alignment horizontal="center" vertical="center" wrapText="1"/>
    </xf>
    <xf numFmtId="3" fontId="39" fillId="0" borderId="1" xfId="5" applyNumberFormat="1" applyFont="1" applyFill="1" applyBorder="1" applyAlignment="1">
      <alignment horizontal="center" vertical="center" wrapText="1"/>
    </xf>
    <xf numFmtId="0" fontId="1" fillId="0" borderId="1" xfId="0" applyFont="1" applyFill="1" applyBorder="1"/>
    <xf numFmtId="0" fontId="1" fillId="0" borderId="3" xfId="0" applyFont="1" applyFill="1" applyBorder="1"/>
    <xf numFmtId="0" fontId="26" fillId="8" borderId="8" xfId="5" applyFont="1" applyFill="1" applyBorder="1" applyAlignment="1">
      <alignment horizontal="center" vertical="center"/>
    </xf>
    <xf numFmtId="0" fontId="26" fillId="0" borderId="1" xfId="5" applyFont="1" applyBorder="1" applyAlignment="1">
      <alignment horizontal="center" vertical="center"/>
    </xf>
    <xf numFmtId="3" fontId="26" fillId="0" borderId="1" xfId="5" applyNumberFormat="1" applyFont="1" applyBorder="1" applyAlignment="1">
      <alignment horizontal="center" vertical="center"/>
    </xf>
    <xf numFmtId="0" fontId="1" fillId="0" borderId="1" xfId="0" applyFont="1" applyBorder="1"/>
    <xf numFmtId="0" fontId="1" fillId="0" borderId="3" xfId="0" applyFont="1" applyBorder="1"/>
    <xf numFmtId="0" fontId="19" fillId="8" borderId="8" xfId="5" applyFont="1" applyFill="1" applyBorder="1" applyAlignment="1">
      <alignment horizontal="center" vertical="center"/>
    </xf>
    <xf numFmtId="0" fontId="19" fillId="0" borderId="1" xfId="5" applyFont="1" applyBorder="1" applyAlignment="1">
      <alignment horizontal="center" vertical="center"/>
    </xf>
    <xf numFmtId="3" fontId="19" fillId="0" borderId="1" xfId="5" applyNumberFormat="1" applyFont="1" applyBorder="1" applyAlignment="1">
      <alignment horizontal="center" vertical="center"/>
    </xf>
    <xf numFmtId="3" fontId="19" fillId="0" borderId="3" xfId="5" applyNumberFormat="1" applyFont="1" applyBorder="1" applyAlignment="1">
      <alignment horizontal="center" vertical="center"/>
    </xf>
    <xf numFmtId="0" fontId="26" fillId="8" borderId="9" xfId="5" applyFont="1" applyFill="1" applyBorder="1" applyAlignment="1">
      <alignment horizontal="center" vertical="center"/>
    </xf>
    <xf numFmtId="0" fontId="19" fillId="8" borderId="11" xfId="5" applyFont="1" applyFill="1" applyBorder="1" applyAlignment="1">
      <alignment horizontal="center" vertical="center"/>
    </xf>
    <xf numFmtId="3" fontId="19" fillId="8" borderId="11" xfId="5" applyNumberFormat="1" applyFont="1" applyFill="1" applyBorder="1" applyAlignment="1">
      <alignment horizontal="center" vertical="center"/>
    </xf>
    <xf numFmtId="3" fontId="19" fillId="8" borderId="12" xfId="5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4" fillId="3" borderId="14" xfId="7" applyFont="1" applyFill="1" applyBorder="1" applyAlignment="1">
      <alignment horizontal="center"/>
    </xf>
    <xf numFmtId="0" fontId="4" fillId="3" borderId="0" xfId="7" applyFont="1" applyFill="1" applyBorder="1" applyAlignment="1">
      <alignment horizontal="center"/>
    </xf>
    <xf numFmtId="0" fontId="4" fillId="0" borderId="0" xfId="6" applyFont="1" applyBorder="1" applyAlignment="1">
      <alignment horizontal="center" vertical="center"/>
    </xf>
    <xf numFmtId="0" fontId="13" fillId="11" borderId="5" xfId="4" applyFont="1" applyFill="1" applyBorder="1" applyAlignment="1">
      <alignment horizontal="center"/>
    </xf>
    <xf numFmtId="0" fontId="13" fillId="11" borderId="17" xfId="4" applyFont="1" applyFill="1" applyBorder="1" applyAlignment="1">
      <alignment horizontal="center"/>
    </xf>
    <xf numFmtId="0" fontId="4" fillId="11" borderId="14" xfId="8" applyFont="1" applyFill="1" applyBorder="1" applyAlignment="1">
      <alignment horizontal="center" vertical="center"/>
    </xf>
    <xf numFmtId="0" fontId="4" fillId="11" borderId="0" xfId="8" applyFont="1" applyFill="1" applyBorder="1" applyAlignment="1">
      <alignment horizontal="center" vertical="center"/>
    </xf>
    <xf numFmtId="0" fontId="4" fillId="0" borderId="0" xfId="5" applyFont="1" applyBorder="1" applyAlignment="1">
      <alignment horizontal="center" vertical="center"/>
    </xf>
    <xf numFmtId="0" fontId="4" fillId="2" borderId="14" xfId="8" applyFont="1" applyFill="1" applyBorder="1" applyAlignment="1">
      <alignment horizontal="center" vertical="center"/>
    </xf>
    <xf numFmtId="0" fontId="4" fillId="2" borderId="0" xfId="8" applyFont="1" applyFill="1" applyBorder="1" applyAlignment="1">
      <alignment horizontal="center" vertical="center"/>
    </xf>
    <xf numFmtId="0" fontId="4" fillId="2" borderId="16" xfId="8" applyFont="1" applyFill="1" applyBorder="1" applyAlignment="1">
      <alignment horizontal="center" vertical="center"/>
    </xf>
    <xf numFmtId="0" fontId="4" fillId="2" borderId="17" xfId="8" applyFont="1" applyFill="1" applyBorder="1" applyAlignment="1">
      <alignment horizontal="center" vertical="center"/>
    </xf>
  </cellXfs>
  <cellStyles count="10">
    <cellStyle name="Comma" xfId="1" builtinId="3"/>
    <cellStyle name="Normal" xfId="0" builtinId="0"/>
    <cellStyle name="Normal_גיליון1" xfId="2"/>
    <cellStyle name="Normal_הכנסות" xfId="3"/>
    <cellStyle name="Normal_הכנסות (2)" xfId="4"/>
    <cellStyle name="Normal_ריכוז הוצאות" xfId="5"/>
    <cellStyle name="Normal_ריכוז הכנסות" xfId="6"/>
    <cellStyle name="Normal_ריכוז תקציב" xfId="7"/>
    <cellStyle name="Normal_תקציב 1999 (2)" xfId="8"/>
    <cellStyle name="Percent" xfId="9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9:C14"/>
  <sheetViews>
    <sheetView rightToLeft="1" workbookViewId="0">
      <selection activeCell="AB483" sqref="AB483"/>
    </sheetView>
  </sheetViews>
  <sheetFormatPr defaultRowHeight="15.75" x14ac:dyDescent="0.25"/>
  <cols>
    <col min="3" max="3" width="58.85546875" bestFit="1" customWidth="1"/>
  </cols>
  <sheetData>
    <row r="9" spans="3:3" ht="45.75" x14ac:dyDescent="0.65">
      <c r="C9" s="45" t="s">
        <v>367</v>
      </c>
    </row>
    <row r="10" spans="3:3" ht="33.75" x14ac:dyDescent="0.5">
      <c r="C10" s="43"/>
    </row>
    <row r="11" spans="3:3" ht="33.75" x14ac:dyDescent="0.5">
      <c r="C11" s="43"/>
    </row>
    <row r="12" spans="3:3" ht="33.75" x14ac:dyDescent="0.5">
      <c r="C12" s="46" t="s">
        <v>691</v>
      </c>
    </row>
    <row r="13" spans="3:3" ht="33.75" x14ac:dyDescent="0.5">
      <c r="C13" s="43"/>
    </row>
    <row r="14" spans="3:3" ht="33.75" x14ac:dyDescent="0.5">
      <c r="C14" s="43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X410"/>
  <sheetViews>
    <sheetView rightToLeft="1" showWhiteSpace="0" view="pageBreakPreview" zoomScale="60" workbookViewId="0">
      <selection activeCell="AB483" sqref="AB483"/>
    </sheetView>
  </sheetViews>
  <sheetFormatPr defaultRowHeight="23.1" customHeight="1" x14ac:dyDescent="0.25"/>
  <cols>
    <col min="1" max="1" width="4.28515625" style="290" customWidth="1"/>
    <col min="2" max="2" width="32.7109375" style="290" customWidth="1"/>
    <col min="3" max="3" width="18.42578125" style="290" hidden="1" customWidth="1"/>
    <col min="4" max="4" width="0.140625" style="290" hidden="1" customWidth="1"/>
    <col min="5" max="5" width="22.42578125" style="290" hidden="1" customWidth="1"/>
    <col min="6" max="6" width="22.28515625" style="290" hidden="1" customWidth="1"/>
    <col min="7" max="7" width="19.140625" style="290" hidden="1" customWidth="1"/>
    <col min="8" max="8" width="17.140625" style="290" hidden="1" customWidth="1"/>
    <col min="9" max="9" width="19.140625" style="290" hidden="1" customWidth="1"/>
    <col min="10" max="12" width="19.85546875" style="290" hidden="1" customWidth="1"/>
    <col min="13" max="17" width="19.140625" style="290" hidden="1" customWidth="1"/>
    <col min="18" max="18" width="18.7109375" style="290" hidden="1" customWidth="1"/>
    <col min="19" max="19" width="20.5703125" style="290" hidden="1" customWidth="1"/>
    <col min="20" max="20" width="20.140625" style="290" hidden="1" customWidth="1"/>
    <col min="21" max="23" width="19" style="290" hidden="1" customWidth="1"/>
    <col min="24" max="26" width="19" style="290" customWidth="1"/>
    <col min="27" max="27" width="11.28515625" style="290" bestFit="1" customWidth="1"/>
    <col min="28" max="30" width="9.140625" style="290"/>
    <col min="31" max="31" width="10.140625" style="290" bestFit="1" customWidth="1"/>
    <col min="32" max="16384" width="9.140625" style="290"/>
  </cols>
  <sheetData>
    <row r="2" spans="1:50" ht="23.1" customHeight="1" x14ac:dyDescent="0.3">
      <c r="B2" s="375" t="s">
        <v>367</v>
      </c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  <c r="V2" s="376"/>
      <c r="W2" s="376"/>
      <c r="X2" s="376"/>
      <c r="Y2" s="376"/>
      <c r="Z2" s="376"/>
      <c r="AA2" s="291"/>
      <c r="AB2" s="291"/>
      <c r="AC2" s="291"/>
      <c r="AD2" s="291"/>
      <c r="AE2" s="291"/>
      <c r="AF2" s="291"/>
      <c r="AG2" s="291"/>
      <c r="AH2" s="291"/>
      <c r="AI2" s="291"/>
      <c r="AJ2" s="291"/>
      <c r="AK2" s="291"/>
      <c r="AL2" s="291"/>
      <c r="AM2" s="291"/>
      <c r="AN2" s="291"/>
      <c r="AO2" s="291"/>
      <c r="AP2" s="291"/>
      <c r="AQ2" s="291"/>
      <c r="AR2" s="291"/>
      <c r="AS2" s="291"/>
      <c r="AT2" s="291"/>
      <c r="AU2" s="291"/>
      <c r="AV2" s="291"/>
      <c r="AW2" s="291"/>
      <c r="AX2" s="291"/>
    </row>
    <row r="3" spans="1:50" ht="23.1" customHeight="1" x14ac:dyDescent="0.3">
      <c r="B3" s="375" t="s">
        <v>719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291"/>
      <c r="AB3" s="291"/>
      <c r="AC3" s="291"/>
      <c r="AD3" s="291"/>
      <c r="AE3" s="291"/>
      <c r="AF3" s="291"/>
      <c r="AG3" s="291"/>
      <c r="AH3" s="291"/>
      <c r="AI3" s="291"/>
      <c r="AJ3" s="291"/>
      <c r="AK3" s="291"/>
      <c r="AL3" s="291"/>
      <c r="AM3" s="291"/>
      <c r="AN3" s="291"/>
      <c r="AO3" s="291"/>
      <c r="AP3" s="291"/>
      <c r="AQ3" s="291"/>
      <c r="AR3" s="291"/>
      <c r="AS3" s="291"/>
      <c r="AT3" s="291"/>
      <c r="AU3" s="291"/>
      <c r="AV3" s="291"/>
      <c r="AW3" s="291"/>
      <c r="AX3" s="291"/>
    </row>
    <row r="4" spans="1:50" ht="15.75" customHeight="1" x14ac:dyDescent="0.3">
      <c r="B4" s="292"/>
      <c r="C4" s="293" t="s">
        <v>397</v>
      </c>
      <c r="D4" s="294"/>
      <c r="E4" s="294"/>
      <c r="F4" s="295"/>
      <c r="G4" s="295"/>
      <c r="H4" s="295"/>
      <c r="I4" s="296"/>
      <c r="J4" s="295"/>
      <c r="K4" s="295"/>
      <c r="L4" s="295"/>
      <c r="M4" s="295"/>
      <c r="N4" s="295"/>
      <c r="O4" s="295"/>
      <c r="P4" s="295"/>
      <c r="Q4" s="295"/>
      <c r="R4" s="297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</row>
    <row r="5" spans="1:50" s="298" customFormat="1" ht="48" customHeight="1" x14ac:dyDescent="0.25">
      <c r="B5" s="299" t="s">
        <v>346</v>
      </c>
      <c r="C5" s="300" t="s">
        <v>393</v>
      </c>
      <c r="D5" s="300" t="s">
        <v>387</v>
      </c>
      <c r="E5" s="300" t="s">
        <v>415</v>
      </c>
      <c r="F5" s="299" t="s">
        <v>398</v>
      </c>
      <c r="G5" s="301" t="s">
        <v>453</v>
      </c>
      <c r="H5" s="85" t="s">
        <v>427</v>
      </c>
      <c r="I5" s="85" t="s">
        <v>458</v>
      </c>
      <c r="J5" s="85" t="s">
        <v>428</v>
      </c>
      <c r="K5" s="85" t="s">
        <v>456</v>
      </c>
      <c r="L5" s="85" t="s">
        <v>473</v>
      </c>
      <c r="M5" s="85" t="s">
        <v>580</v>
      </c>
      <c r="N5" s="85" t="s">
        <v>590</v>
      </c>
      <c r="O5" s="85" t="s">
        <v>476</v>
      </c>
      <c r="P5" s="85" t="s">
        <v>595</v>
      </c>
      <c r="Q5" s="85" t="s">
        <v>599</v>
      </c>
      <c r="R5" s="301" t="s">
        <v>604</v>
      </c>
      <c r="S5" s="85" t="s">
        <v>605</v>
      </c>
      <c r="T5" s="85" t="s">
        <v>599</v>
      </c>
      <c r="U5" s="301" t="s">
        <v>606</v>
      </c>
      <c r="V5" s="301" t="s">
        <v>637</v>
      </c>
      <c r="W5" s="301" t="s">
        <v>653</v>
      </c>
      <c r="X5" s="302" t="s">
        <v>628</v>
      </c>
      <c r="Y5" s="302" t="s">
        <v>692</v>
      </c>
      <c r="Z5" s="302" t="s">
        <v>691</v>
      </c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</row>
    <row r="6" spans="1:50" ht="23.1" customHeight="1" x14ac:dyDescent="0.3">
      <c r="B6" s="304" t="s">
        <v>347</v>
      </c>
      <c r="C6" s="305">
        <f>הכנסות!E9</f>
        <v>18600000</v>
      </c>
      <c r="D6" s="305">
        <f>הכנסות!F9</f>
        <v>0</v>
      </c>
      <c r="E6" s="305">
        <f>הכנסות!G9</f>
        <v>19918128</v>
      </c>
      <c r="F6" s="305">
        <f>הכנסות!H9</f>
        <v>21500000</v>
      </c>
      <c r="G6" s="305">
        <f>הכנסות!K9</f>
        <v>25000000</v>
      </c>
      <c r="H6" s="305">
        <f>הכנסות!L9</f>
        <v>17771000</v>
      </c>
      <c r="I6" s="305">
        <f>הכנסות!M9</f>
        <v>18055000</v>
      </c>
      <c r="J6" s="305">
        <f>הכנסות!N9</f>
        <v>24000000</v>
      </c>
      <c r="K6" s="305">
        <f>הכנסות!O9</f>
        <v>24700000</v>
      </c>
      <c r="L6" s="305">
        <f>הכנסות!R9</f>
        <v>28000000</v>
      </c>
      <c r="M6" s="305">
        <f>הכנסות!S9</f>
        <v>28000000</v>
      </c>
      <c r="N6" s="305">
        <f>הכנסות!T9</f>
        <v>27272000</v>
      </c>
      <c r="O6" s="306">
        <f>הכנסות!U9</f>
        <v>28000000</v>
      </c>
      <c r="P6" s="306">
        <f>הכנסות!V9</f>
        <v>12670671</v>
      </c>
      <c r="Q6" s="306">
        <f>הכנסות!W9</f>
        <v>26841342</v>
      </c>
      <c r="R6" s="306">
        <f>הכנסות!X9</f>
        <v>28000000</v>
      </c>
      <c r="S6" s="306">
        <f>הכנסות!Y9</f>
        <v>21099461</v>
      </c>
      <c r="T6" s="306">
        <f>הכנסות!Z9</f>
        <v>25319353.200000003</v>
      </c>
      <c r="U6" s="307">
        <f>הכנסות!AA9</f>
        <v>30300000</v>
      </c>
      <c r="V6" s="307">
        <f>הכנסות!AB9</f>
        <v>23665055</v>
      </c>
      <c r="W6" s="307">
        <f>הכנסות!AC9</f>
        <v>30935000</v>
      </c>
      <c r="X6" s="307">
        <f>הכנסות!AD9</f>
        <v>32500000</v>
      </c>
      <c r="Y6" s="307">
        <f>הכנסות!AE9</f>
        <v>32000000</v>
      </c>
      <c r="Z6" s="307">
        <f>הכנסות!AF9</f>
        <v>34000000</v>
      </c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1"/>
      <c r="AM6" s="291"/>
      <c r="AN6" s="291"/>
      <c r="AO6" s="291"/>
      <c r="AP6" s="291"/>
      <c r="AQ6" s="291"/>
      <c r="AR6" s="291"/>
      <c r="AS6" s="291"/>
      <c r="AT6" s="291"/>
      <c r="AU6" s="291"/>
      <c r="AV6" s="291"/>
      <c r="AW6" s="291"/>
      <c r="AX6" s="291"/>
    </row>
    <row r="7" spans="1:50" ht="30" customHeight="1" x14ac:dyDescent="0.3">
      <c r="B7" s="304" t="s">
        <v>348</v>
      </c>
      <c r="C7" s="305">
        <f>הכנסות!E13</f>
        <v>10000000</v>
      </c>
      <c r="D7" s="305">
        <f>הכנסות!F13</f>
        <v>0</v>
      </c>
      <c r="E7" s="305">
        <f>הכנסות!G13</f>
        <v>7864000</v>
      </c>
      <c r="F7" s="305">
        <f>הכנסות!H13</f>
        <v>8000000</v>
      </c>
      <c r="G7" s="305">
        <f>הכנסות!K13</f>
        <v>8000000</v>
      </c>
      <c r="H7" s="305">
        <f>הכנסות!L13</f>
        <v>4433000</v>
      </c>
      <c r="I7" s="305">
        <f>הכנסות!M13</f>
        <v>5041247</v>
      </c>
      <c r="J7" s="305">
        <f>הכנסות!N13</f>
        <v>8000000</v>
      </c>
      <c r="K7" s="305">
        <f>הכנסות!O13</f>
        <v>7200000</v>
      </c>
      <c r="L7" s="305">
        <f>הכנסות!R13</f>
        <v>8000000</v>
      </c>
      <c r="M7" s="305">
        <f>הכנסות!S13</f>
        <v>8000000</v>
      </c>
      <c r="N7" s="305">
        <f>הכנסות!T13</f>
        <v>7200000</v>
      </c>
      <c r="O7" s="306">
        <f>הכנסות!U13</f>
        <v>8000000</v>
      </c>
      <c r="P7" s="306">
        <f>הכנסות!V13</f>
        <v>5308368</v>
      </c>
      <c r="Q7" s="306">
        <f>הכנסות!W13</f>
        <v>9116736</v>
      </c>
      <c r="R7" s="306">
        <f>הכנסות!X13</f>
        <v>9200000</v>
      </c>
      <c r="S7" s="306">
        <f>הכנסות!Y13</f>
        <v>8335314</v>
      </c>
      <c r="T7" s="306">
        <f>הכנסות!Z13</f>
        <v>10002376.800000001</v>
      </c>
      <c r="U7" s="307">
        <f>הכנסות!AA13</f>
        <v>9500000</v>
      </c>
      <c r="V7" s="307">
        <f>הכנסות!AB13</f>
        <v>7981323</v>
      </c>
      <c r="W7" s="307">
        <f>הכנסות!AC13</f>
        <v>9600000</v>
      </c>
      <c r="X7" s="307">
        <f>הכנסות!AD13</f>
        <v>9600000</v>
      </c>
      <c r="Y7" s="307">
        <f>הכנסות!AE13</f>
        <v>10000000</v>
      </c>
      <c r="Z7" s="307">
        <f>הכנסות!AF13</f>
        <v>10000000</v>
      </c>
      <c r="AA7" s="291"/>
      <c r="AB7" s="291"/>
      <c r="AC7" s="291"/>
      <c r="AD7" s="291"/>
      <c r="AE7" s="291"/>
      <c r="AF7" s="291"/>
      <c r="AG7" s="291"/>
      <c r="AH7" s="291"/>
      <c r="AI7" s="291"/>
      <c r="AJ7" s="291"/>
      <c r="AK7" s="291"/>
      <c r="AL7" s="291"/>
      <c r="AM7" s="291"/>
      <c r="AN7" s="291"/>
      <c r="AO7" s="291"/>
      <c r="AP7" s="291"/>
      <c r="AQ7" s="291"/>
      <c r="AR7" s="291"/>
      <c r="AS7" s="291"/>
      <c r="AT7" s="291"/>
      <c r="AU7" s="291"/>
      <c r="AV7" s="291"/>
      <c r="AW7" s="291"/>
      <c r="AX7" s="291"/>
    </row>
    <row r="8" spans="1:50" ht="30" customHeight="1" x14ac:dyDescent="0.3">
      <c r="B8" s="304" t="s">
        <v>349</v>
      </c>
      <c r="C8" s="305" t="e">
        <f>הכנסות!#REF!+הכנסות!E212</f>
        <v>#REF!</v>
      </c>
      <c r="D8" s="305" t="e">
        <f>הכנסות!#REF!+הכנסות!F212</f>
        <v>#REF!</v>
      </c>
      <c r="E8" s="305" t="e">
        <f>הכנסות!#REF!+הכנסות!G212</f>
        <v>#REF!</v>
      </c>
      <c r="F8" s="305" t="e">
        <f>הכנסות!#REF!+הכנסות!H212</f>
        <v>#REF!</v>
      </c>
      <c r="G8" s="305" t="e">
        <f>הכנסות!#REF!+הכנסות!K212</f>
        <v>#REF!</v>
      </c>
      <c r="H8" s="305" t="e">
        <f>הכנסות!#REF!+הכנסות!L212</f>
        <v>#REF!</v>
      </c>
      <c r="I8" s="305" t="e">
        <f>הכנסות!#REF!+הכנסות!M212</f>
        <v>#REF!</v>
      </c>
      <c r="J8" s="305" t="e">
        <f>הכנסות!#REF!+הכנסות!N212</f>
        <v>#REF!</v>
      </c>
      <c r="K8" s="305" t="e">
        <f>הכנסות!#REF!+הכנסות!O212</f>
        <v>#REF!</v>
      </c>
      <c r="L8" s="305" t="e">
        <f>הכנסות!#REF!+הכנסות!R212</f>
        <v>#REF!</v>
      </c>
      <c r="M8" s="305" t="e">
        <f>הכנסות!#REF!+הכנסות!S212</f>
        <v>#REF!</v>
      </c>
      <c r="N8" s="305" t="e">
        <f>הכנסות!#REF!+הכנסות!T212</f>
        <v>#REF!</v>
      </c>
      <c r="O8" s="306" t="e">
        <f>הכנסות!#REF!+הכנסות!U212</f>
        <v>#REF!</v>
      </c>
      <c r="P8" s="306" t="e">
        <f>הכנסות!#REF!+הכנסות!V212</f>
        <v>#REF!</v>
      </c>
      <c r="Q8" s="306" t="e">
        <f>הכנסות!#REF!+הכנסות!W212</f>
        <v>#REF!</v>
      </c>
      <c r="R8" s="306" t="e">
        <f>הכנסות!#REF!+הכנסות!X212</f>
        <v>#REF!</v>
      </c>
      <c r="S8" s="306" t="e">
        <f>הכנסות!#REF!+הכנסות!Y212</f>
        <v>#REF!</v>
      </c>
      <c r="T8" s="306" t="e">
        <f>הכנסות!#REF!+הכנסות!Z212</f>
        <v>#REF!</v>
      </c>
      <c r="U8" s="307">
        <f>+הכנסות!AA212</f>
        <v>400000</v>
      </c>
      <c r="V8" s="307">
        <f>+הכנסות!AB212</f>
        <v>227307</v>
      </c>
      <c r="W8" s="307">
        <f>+הכנסות!AC212</f>
        <v>270000</v>
      </c>
      <c r="X8" s="307">
        <f>+הכנסות!AD212</f>
        <v>250000</v>
      </c>
      <c r="Y8" s="307">
        <f>+הכנסות!AE212</f>
        <v>200000</v>
      </c>
      <c r="Z8" s="307">
        <f>+הכנסות!AF212</f>
        <v>200000</v>
      </c>
      <c r="AA8" s="291"/>
      <c r="AB8" s="291"/>
      <c r="AC8" s="291"/>
      <c r="AD8" s="291"/>
      <c r="AE8" s="291"/>
      <c r="AF8" s="291"/>
      <c r="AG8" s="291"/>
      <c r="AH8" s="291"/>
      <c r="AI8" s="291"/>
      <c r="AJ8" s="291"/>
      <c r="AK8" s="291"/>
      <c r="AL8" s="291"/>
      <c r="AM8" s="291"/>
      <c r="AN8" s="291"/>
      <c r="AO8" s="291"/>
      <c r="AP8" s="291"/>
      <c r="AQ8" s="291"/>
      <c r="AR8" s="291"/>
      <c r="AS8" s="291"/>
      <c r="AT8" s="291"/>
      <c r="AU8" s="291"/>
      <c r="AV8" s="291"/>
      <c r="AW8" s="291"/>
      <c r="AX8" s="291"/>
    </row>
    <row r="9" spans="1:50" ht="30" customHeight="1" x14ac:dyDescent="0.3">
      <c r="B9" s="304" t="s">
        <v>625</v>
      </c>
      <c r="C9" s="305"/>
      <c r="D9" s="305"/>
      <c r="E9" s="305"/>
      <c r="F9" s="305"/>
      <c r="G9" s="305"/>
      <c r="H9" s="305"/>
      <c r="I9" s="305"/>
      <c r="J9" s="305"/>
      <c r="K9" s="305"/>
      <c r="L9" s="305" t="e">
        <f>הכנסות!#REF!+הכנסות!R67+הכנסות!R82+הכנסות!R107+הכנסות!R141+הכנסות!#REF!</f>
        <v>#REF!</v>
      </c>
      <c r="M9" s="305" t="e">
        <f>הכנסות!#REF!+הכנסות!S67+הכנסות!S82+הכנסות!S107+הכנסות!S141+הכנסות!#REF!</f>
        <v>#REF!</v>
      </c>
      <c r="N9" s="305" t="e">
        <f>הכנסות!#REF!+הכנסות!T67+הכנסות!T82+הכנסות!T107+הכנסות!T141+הכנסות!#REF!</f>
        <v>#REF!</v>
      </c>
      <c r="O9" s="306" t="e">
        <f>הכנסות!#REF!+הכנסות!U67+הכנסות!U82+הכנסות!U107+הכנסות!U141+הכנסות!#REF!</f>
        <v>#REF!</v>
      </c>
      <c r="P9" s="306" t="e">
        <f>הכנסות!#REF!+הכנסות!V67+הכנסות!V82+הכנסות!V107+הכנסות!V141+הכנסות!#REF!</f>
        <v>#REF!</v>
      </c>
      <c r="Q9" s="306" t="e">
        <f>הכנסות!#REF!+הכנסות!W67+הכנסות!W82+הכנסות!W107+הכנסות!W141+הכנסות!#REF!</f>
        <v>#REF!</v>
      </c>
      <c r="R9" s="306" t="e">
        <f>הכנסות!#REF!+הכנסות!X67+הכנסות!X82+הכנסות!X107+הכנסות!X141+הכנסות!#REF!+הכנסות!X56</f>
        <v>#REF!</v>
      </c>
      <c r="S9" s="306" t="e">
        <f>הכנסות!#REF!+הכנסות!Y67+הכנסות!Y82+הכנסות!Y107+הכנסות!Y141+הכנסות!#REF!+הכנסות!Y56</f>
        <v>#REF!</v>
      </c>
      <c r="T9" s="306" t="e">
        <f>הכנסות!#REF!+הכנסות!Z67+הכנסות!Z82+הכנסות!Z107+הכנסות!Z141+הכנסות!#REF!+הכנסות!Z56</f>
        <v>#REF!</v>
      </c>
      <c r="U9" s="307" t="e">
        <f>הכנסות!AA56+הכנסות!AA67+הכנסות!AA82+הכנסות!AA103+הכנסות!AA107+הכנסות!AA139+הכנסות!#REF!+הכנסות!AA141</f>
        <v>#REF!</v>
      </c>
      <c r="V9" s="307" t="e">
        <f>הכנסות!AB56+הכנסות!AB67+הכנסות!AB82+הכנסות!AB103+הכנסות!AB107+הכנסות!AB139+הכנסות!#REF!+הכנסות!AB141</f>
        <v>#REF!</v>
      </c>
      <c r="W9" s="307" t="e">
        <f>הכנסות!AC56+הכנסות!AC67+הכנסות!AC82+הכנסות!AC103+הכנסות!AC107+הכנסות!AC139+הכנסות!#REF!+הכנסות!AC141</f>
        <v>#REF!</v>
      </c>
      <c r="X9" s="307">
        <f>הכנסות!AD56+הכנסות!AD67+הכנסות!AD82+הכנסות!AD103+הכנסות!AD107+הכנסות!AD139+הכנסות!AD141+הכנסות!AD144</f>
        <v>1047500.4</v>
      </c>
      <c r="Y9" s="307">
        <f>הכנסות!AE56+הכנסות!AE67+הכנסות!AE82+הכנסות!AE103+הכנסות!AE107+הכנסות!AE139+הכנסות!AE141+הכנסות!AE144</f>
        <v>1133000</v>
      </c>
      <c r="Z9" s="307">
        <f>הכנסות!AF56+הכנסות!AF67+הכנסות!AF82+הכנסות!AF103+הכנסות!AF107+הכנסות!AF139+הכנסות!AF141+הכנסות!AF144</f>
        <v>1454000</v>
      </c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</row>
    <row r="10" spans="1:50" ht="30" customHeight="1" x14ac:dyDescent="0.3">
      <c r="B10" s="304" t="s">
        <v>477</v>
      </c>
      <c r="C10" s="305"/>
      <c r="D10" s="305"/>
      <c r="E10" s="305"/>
      <c r="F10" s="305"/>
      <c r="G10" s="305"/>
      <c r="H10" s="305"/>
      <c r="I10" s="305"/>
      <c r="J10" s="305"/>
      <c r="K10" s="305"/>
      <c r="L10" s="305" t="e">
        <f>הכנסות!R163+הכנסות!#REF!+הכנסות!R168+הכנסות!R184+הכנסות!#REF!+הכנסות!#REF!+הכנסות!#REF!+הכנסות!R197+הכנסות!#REF!</f>
        <v>#REF!</v>
      </c>
      <c r="M10" s="305" t="e">
        <f>הכנסות!S163+הכנסות!#REF!+הכנסות!S168+הכנסות!S184+הכנסות!#REF!+הכנסות!#REF!+הכנסות!#REF!+הכנסות!S197+הכנסות!#REF!</f>
        <v>#REF!</v>
      </c>
      <c r="N10" s="305" t="e">
        <f>הכנסות!T163+הכנסות!#REF!+הכנסות!T168+הכנסות!T184+הכנסות!#REF!+הכנסות!#REF!+הכנסות!#REF!+הכנסות!T197+הכנסות!#REF!</f>
        <v>#REF!</v>
      </c>
      <c r="O10" s="306" t="e">
        <f>הכנסות!U163+הכנסות!#REF!+הכנסות!U168+הכנסות!U184+הכנסות!#REF!+הכנסות!#REF!+הכנסות!#REF!+הכנסות!U197+הכנסות!#REF!</f>
        <v>#REF!</v>
      </c>
      <c r="P10" s="306" t="e">
        <f>הכנסות!V163+הכנסות!#REF!+הכנסות!V168+הכנסות!V184+הכנסות!#REF!+הכנסות!#REF!+הכנסות!#REF!+הכנסות!V197+הכנסות!#REF!</f>
        <v>#REF!</v>
      </c>
      <c r="Q10" s="306" t="e">
        <f>הכנסות!W163+הכנסות!#REF!+הכנסות!W168+הכנסות!W184+הכנסות!#REF!+הכנסות!#REF!+הכנסות!#REF!+הכנסות!W197+הכנסות!#REF!</f>
        <v>#REF!</v>
      </c>
      <c r="R10" s="306" t="e">
        <f>הכנסות!X163+הכנסות!#REF!+הכנסות!X168+הכנסות!X184+הכנסות!#REF!+הכנסות!#REF!+הכנסות!#REF!+הכנסות!X197+הכנסות!#REF!</f>
        <v>#REF!</v>
      </c>
      <c r="S10" s="306" t="e">
        <f>הכנסות!Y163+הכנסות!#REF!+הכנסות!Y168+הכנסות!Y184+הכנסות!#REF!+הכנסות!#REF!+הכנסות!#REF!+הכנסות!Y197+הכנסות!#REF!</f>
        <v>#REF!</v>
      </c>
      <c r="T10" s="306" t="e">
        <f>הכנסות!Z163+הכנסות!#REF!+הכנסות!Z168+הכנסות!Z184+הכנסות!#REF!+הכנסות!#REF!+הכנסות!#REF!+הכנסות!Z197+הכנסות!#REF!</f>
        <v>#REF!</v>
      </c>
      <c r="U10" s="307" t="e">
        <f>הכנסות!AA163+הכנסות!#REF!+הכנסות!AA168+הכנסות!AA184+הכנסות!AA197+הכנסות!#REF!+הכנסות!#REF!+הכנסות!AA190</f>
        <v>#REF!</v>
      </c>
      <c r="V10" s="307" t="e">
        <f>הכנסות!AB163+הכנסות!#REF!+הכנסות!AB168+הכנסות!AB184+הכנסות!AB197+הכנסות!#REF!+הכנסות!#REF!+הכנסות!AB190</f>
        <v>#REF!</v>
      </c>
      <c r="W10" s="307" t="e">
        <f>הכנסות!AC163+הכנסות!#REF!+הכנסות!AC168+הכנסות!AC184+הכנסות!AC197+הכנסות!#REF!+הכנסות!#REF!+הכנסות!AC190</f>
        <v>#REF!</v>
      </c>
      <c r="X10" s="307">
        <f>הכנסות!AD163+הכנסות!AD168+הכנסות!AD184+הכנסות!AD197+הכנסות!AD190</f>
        <v>136500</v>
      </c>
      <c r="Y10" s="307">
        <f>הכנסות!AE163+הכנסות!AE168+הכנסות!AE184+הכנסות!AE197+הכנסות!AE190</f>
        <v>162000</v>
      </c>
      <c r="Z10" s="307">
        <f>הכנסות!AF163+הכנסות!AF168+הכנסות!AF184+הכנסות!AF197+הכנסות!AF190</f>
        <v>162000</v>
      </c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</row>
    <row r="11" spans="1:50" ht="30" customHeight="1" x14ac:dyDescent="0.3">
      <c r="B11" s="304" t="s">
        <v>350</v>
      </c>
      <c r="C11" s="305" t="e">
        <f>הכנסות!E15+הכנסות!E30++הכנסות!E36+הכנסות!E38+הכנסות!E43+הכנסות!E45+הכנסות!#REF!+הכנסות!E67+הכנסות!E82+הכנסות!E107+הכנסות!E141+הכנסות!E155+הכנסות!E163+הכנסות!#REF!+הכנסות!E168+הכנסות!#REF!+הכנסות!E184+הכנסות!#REF!+הכנסות!#REF!+הכנסות!E197+הכנסות!E207+הכנסות!E221+הכנסות!E227+הכנסות!#REF!+הכנסות!#REF!+הכנסות!#REF!+הכנסות!E214+הכנסות!E215+הכנסות!E216</f>
        <v>#REF!</v>
      </c>
      <c r="D11" s="305" t="e">
        <f>הכנסות!F15+הכנסות!F30++הכנסות!F36+הכנסות!F38+הכנסות!F42+הכנסות!F45+הכנסות!#REF!+הכנסות!F67+הכנסות!F82+הכנסות!F107+הכנסות!F141+הכנסות!F155+הכנסות!F163+הכנסות!#REF!+הכנסות!F168+הכנסות!#REF!+הכנסות!F184+הכנסות!#REF!+הכנסות!#REF!+הכנסות!F197+הכנסות!F207+הכנסות!F221+הכנסות!F227+הכנסות!#REF!+הכנסות!#REF!+הכנסות!#REF!+הכנסות!F214+הכנסות!F215+הכנסות!F216</f>
        <v>#REF!</v>
      </c>
      <c r="E11" s="305" t="e">
        <f>הכנסות!G15+הכנסות!G30++הכנסות!G36+הכנסות!G38+הכנסות!G43+הכנסות!G45+הכנסות!#REF!+הכנסות!G67+הכנסות!G82+הכנסות!G107+הכנסות!G141+הכנסות!G155+הכנסות!G163+הכנסות!#REF!+הכנסות!G168+הכנסות!#REF!+הכנסות!G184+הכנסות!#REF!+הכנסות!#REF!+הכנסות!G197+הכנסות!G207+הכנסות!G221+הכנסות!G227+הכנסות!#REF!+הכנסות!#REF!+הכנסות!#REF!+הכנסות!G214+הכנסות!G215+הכנסות!G216</f>
        <v>#REF!</v>
      </c>
      <c r="F11" s="305" t="e">
        <f>הכנסות!H15+הכנסות!H30++הכנסות!H36+הכנסות!H38+הכנסות!H43+הכנסות!H45+הכנסות!#REF!+הכנסות!H67+הכנסות!H82+הכנסות!H107+הכנסות!H141+הכנסות!H155+הכנסות!H163+הכנסות!#REF!+הכנסות!H168+הכנסות!#REF!+הכנסות!H184+הכנסות!#REF!+הכנסות!#REF!+הכנסות!H197+הכנסות!H207+הכנסות!H221+הכנסות!H227+הכנסות!#REF!+הכנסות!#REF!+הכנסות!#REF!+הכנסות!H214+הכנסות!H215+הכנסות!H216+הכנסות!#REF!+הכנסות!H217</f>
        <v>#REF!</v>
      </c>
      <c r="G11" s="305" t="e">
        <f>הכנסות!K15+הכנסות!K30++הכנסות!K36+הכנסות!K38+הכנסות!K43+הכנסות!K45+הכנסות!#REF!+הכנסות!K67+הכנסות!K82+הכנסות!K107+הכנסות!K141+הכנסות!K155+הכנסות!K163+הכנסות!#REF!+הכנסות!K168+הכנסות!#REF!+הכנסות!K184+הכנסות!#REF!+הכנסות!#REF!+הכנסות!K197+הכנסות!K207+הכנסות!K221+הכנסות!K227+הכנסות!#REF!+הכנסות!#REF!+הכנסות!#REF!+הכנסות!K214+הכנסות!K215+הכנסות!K216+הכנסות!#REF!+הכנסות!K217+הכנסות!K208</f>
        <v>#REF!</v>
      </c>
      <c r="H11" s="305" t="e">
        <f>הכנסות!L15+הכנסות!L30++הכנסות!L36+הכנסות!L38+הכנסות!L43+הכנסות!L45+הכנסות!#REF!+הכנסות!L67+הכנסות!L82+הכנסות!L107+הכנסות!L141+הכנסות!L155+הכנסות!L163+הכנסות!#REF!+הכנסות!L168+הכנסות!#REF!+הכנסות!L184+הכנסות!#REF!+הכנסות!#REF!+הכנסות!L197+הכנסות!L207+הכנסות!L221+הכנסות!L227+הכנסות!#REF!+הכנסות!#REF!+הכנסות!#REF!+הכנסות!L214+הכנסות!L215+הכנסות!L216+הכנסות!#REF!+הכנסות!L217+הכנסות!L208</f>
        <v>#REF!</v>
      </c>
      <c r="I11" s="305" t="e">
        <f>הכנסות!M15+הכנסות!M30++הכנסות!M36+הכנסות!M38+הכנסות!M43+הכנסות!M45+הכנסות!#REF!+הכנסות!M67+הכנסות!M82+הכנסות!M107+הכנסות!M141+הכנסות!M155+הכנסות!M163+הכנסות!#REF!+הכנסות!M168+הכנסות!#REF!+הכנסות!M184+הכנסות!#REF!+הכנסות!#REF!+הכנסות!M197+הכנסות!M207+הכנסות!M221+הכנסות!M227+הכנסות!#REF!+הכנסות!#REF!+הכנסות!#REF!+הכנסות!M214+הכנסות!M215+הכנסות!M216+הכנסות!#REF!+הכנסות!M217+הכנסות!M208</f>
        <v>#REF!</v>
      </c>
      <c r="J11" s="305" t="e">
        <f>הכנסות!N15+הכנסות!N30++הכנסות!N36+הכנסות!N38+הכנסות!N43+הכנסות!N45+הכנסות!#REF!+הכנסות!N67+הכנסות!N82+הכנסות!N107+הכנסות!N141+הכנסות!N155+הכנסות!N163+הכנסות!#REF!+הכנסות!N168+הכנסות!#REF!+הכנסות!N184+הכנסות!#REF!+הכנסות!#REF!+הכנסות!N197+הכנסות!N207+הכנסות!N221+הכנסות!N227+הכנסות!#REF!+הכנסות!#REF!+הכנסות!#REF!+הכנסות!N214+הכנסות!N215+הכנסות!N216+הכנסות!#REF!+הכנסות!N217+הכנסות!N208</f>
        <v>#REF!</v>
      </c>
      <c r="K11" s="305" t="e">
        <f>הכנסות!O15+הכנסות!O30++הכנסות!O36+הכנסות!O38+הכנסות!O43+הכנסות!O45+הכנסות!#REF!+הכנסות!O67+הכנסות!O82+הכנסות!O107+הכנסות!O141+הכנסות!O155+הכנסות!O163+הכנסות!#REF!+הכנסות!O168+הכנסות!#REF!+הכנסות!O184+הכנסות!#REF!+הכנסות!#REF!+הכנסות!O197+הכנסות!O207+הכנסות!O221+הכנסות!O227+הכנסות!#REF!+הכנסות!#REF!+הכנסות!#REF!+הכנסות!O214+הכנסות!O215+הכנסות!O216+הכנסות!#REF!+הכנסות!O217+הכנסות!O208</f>
        <v>#REF!</v>
      </c>
      <c r="L11" s="305" t="e">
        <f>הכנסות!R15+הכנסות!R30++הכנסות!R36+הכנסות!R38+הכנסות!R43+הכנסות!R45+הכנסות!#REF!+הכנסות!R67+הכנסות!R82+הכנסות!R107+הכנסות!R141+הכנסות!R155+הכנסות!R163+הכנסות!#REF!+הכנסות!R168+הכנסות!#REF!+הכנסות!R184+הכנסות!#REF!+הכנסות!#REF!+הכנסות!R197+הכנסות!R207+הכנסות!R221+הכנסות!R227+הכנסות!#REF!+הכנסות!#REF!+הכנסות!#REF!+הכנסות!R214+הכנסות!R215+הכנסות!R216+הכנסות!#REF!+הכנסות!R217+הכנסות!R208-L9-L10</f>
        <v>#REF!</v>
      </c>
      <c r="M11" s="305" t="e">
        <f>הכנסות!S15+הכנסות!S30++הכנסות!S36+הכנסות!S38+הכנסות!S43+הכנסות!S45+הכנסות!#REF!+הכנסות!S67+הכנסות!S82+הכנסות!S107+הכנסות!S141+הכנסות!S155+הכנסות!S163+הכנסות!#REF!+הכנסות!S168+הכנסות!#REF!+הכנסות!S184+הכנסות!#REF!+הכנסות!#REF!+הכנסות!S197+הכנסות!S207+הכנסות!S221+הכנסות!S227+הכנסות!#REF!+הכנסות!#REF!+הכנסות!#REF!+הכנסות!S214+הכנסות!S215+הכנסות!S216+הכנסות!#REF!+הכנסות!S217+הכנסות!S208-M9-M10</f>
        <v>#REF!</v>
      </c>
      <c r="N11" s="305" t="e">
        <f>הכנסות!T15+הכנסות!T30++הכנסות!T36+הכנסות!T38+הכנסות!T43+הכנסות!T45+הכנסות!#REF!+הכנסות!T67+הכנסות!T82+הכנסות!T107+הכנסות!T141+הכנסות!T155+הכנסות!T163+הכנסות!#REF!+הכנסות!T168+הכנסות!#REF!+הכנסות!T184+הכנסות!#REF!+הכנסות!#REF!+הכנסות!T197+הכנסות!T207+הכנסות!T221+הכנסות!T227+הכנסות!#REF!+הכנסות!#REF!+הכנסות!#REF!+הכנסות!T214+הכנסות!T215+הכנסות!T216+הכנסות!#REF!+הכנסות!T217+הכנסות!T208-N9-N10</f>
        <v>#REF!</v>
      </c>
      <c r="O11" s="306" t="e">
        <f>הכנסות!U15+הכנסות!U30++הכנסות!U36+הכנסות!U38+הכנסות!U43+הכנסות!U45+הכנסות!#REF!+הכנסות!U67+הכנסות!U82+הכנסות!U107+הכנסות!U141+הכנסות!U155+הכנסות!U163+הכנסות!#REF!+הכנסות!U168+הכנסות!#REF!+הכנסות!U184+הכנסות!#REF!+הכנסות!#REF!+הכנסות!U197+הכנסות!U207+הכנסות!U221+הכנסות!U227+הכנסות!#REF!+הכנסות!#REF!+הכנסות!#REF!+הכנסות!U214+הכנסות!U215+הכנסות!U216+הכנסות!#REF!+הכנסות!U217+הכנסות!U208-O9-O10</f>
        <v>#REF!</v>
      </c>
      <c r="P11" s="306" t="e">
        <f>הכנסות!V15+הכנסות!V30++הכנסות!V36+הכנסות!V38+הכנסות!V43+הכנסות!V45+הכנסות!#REF!+הכנסות!V67+הכנסות!V82+הכנסות!V107+הכנסות!V141+הכנסות!V155+הכנסות!V163+הכנסות!#REF!+הכנסות!V168+הכנסות!#REF!+הכנסות!V184+הכנסות!#REF!+הכנסות!#REF!+הכנסות!V197+הכנסות!V207+הכנסות!V221+הכנסות!V227+הכנסות!#REF!+הכנסות!#REF!+הכנסות!#REF!+הכנסות!V214+הכנסות!V215+הכנסות!V216+הכנסות!#REF!+הכנסות!V217+הכנסות!V208-P9-P10</f>
        <v>#REF!</v>
      </c>
      <c r="Q11" s="306" t="e">
        <f>הכנסות!W15+הכנסות!W30++הכנסות!W36+הכנסות!W38+הכנסות!W43+הכנסות!W45+הכנסות!#REF!+הכנסות!W67+הכנסות!W82+הכנסות!W107+הכנסות!W141+הכנסות!W155+הכנסות!W163+הכנסות!#REF!+הכנסות!W168+הכנסות!#REF!+הכנסות!W184+הכנסות!#REF!+הכנסות!#REF!+הכנסות!W197+הכנסות!W207+הכנסות!W221+הכנסות!W227+הכנסות!#REF!+הכנסות!#REF!+הכנסות!#REF!+הכנסות!W214+הכנסות!W215+הכנסות!W216+הכנסות!#REF!+הכנסות!W217+הכנסות!W208-Q9-Q10</f>
        <v>#REF!</v>
      </c>
      <c r="R11" s="306" t="e">
        <f>הכנסות!X15+הכנסות!X30++הכנסות!X36+הכנסות!X38+הכנסות!X43+הכנסות!X45+הכנסות!#REF!+הכנסות!X67+הכנסות!X82+הכנסות!X107+הכנסות!X141+הכנסות!X155+הכנסות!X163+הכנסות!#REF!+הכנסות!X168+הכנסות!#REF!+הכנסות!X184+הכנסות!#REF!+הכנסות!#REF!+הכנסות!X197+הכנסות!X207+הכנסות!X221+הכנסות!X227+הכנסות!#REF!+הכנסות!#REF!+הכנסות!#REF!+הכנסות!X214+הכנסות!X215+הכנסות!X216+הכנסות!#REF!+הכנסות!X217+הכנסות!X208-R9-R10+הכנסות!X56+הכנסות!X156</f>
        <v>#REF!</v>
      </c>
      <c r="S11" s="306" t="e">
        <f>הכנסות!Y15+הכנסות!Y30++הכנסות!Y36+הכנסות!Y38+הכנסות!Y43+הכנסות!Y45+הכנסות!#REF!+הכנסות!Y67+הכנסות!Y82+הכנסות!Y107+הכנסות!Y141+הכנסות!Y155+הכנסות!Y163+הכנסות!#REF!+הכנסות!Y168+הכנסות!#REF!+הכנסות!Y184+הכנסות!#REF!+הכנסות!#REF!+הכנסות!Y197+הכנסות!Y207+הכנסות!Y221+הכנסות!Y227+הכנסות!#REF!+הכנסות!#REF!+הכנסות!#REF!+הכנסות!Y214+הכנסות!Y215+הכנסות!Y216+הכנסות!#REF!+הכנסות!Y217+הכנסות!Y208-S9-S10+הכנסות!Y56+הכנסות!Y156</f>
        <v>#REF!</v>
      </c>
      <c r="T11" s="306" t="e">
        <f>הכנסות!Z15+הכנסות!Z30++הכנסות!Z36+הכנסות!Z38+הכנסות!Z43+הכנסות!Z45+הכנסות!#REF!+הכנסות!Z67+הכנסות!Z82+הכנסות!Z107+הכנסות!Z141+הכנסות!Z155+הכנסות!Z163+הכנסות!#REF!+הכנסות!Z168+הכנסות!#REF!+הכנסות!Z184+הכנסות!#REF!+הכנסות!#REF!+הכנסות!Z197+הכנסות!Z207+הכנסות!Z221+הכנסות!Z227+הכנסות!#REF!+הכנסות!#REF!+הכנסות!#REF!+הכנסות!Z214+הכנסות!Z215+הכנסות!Z216+הכנסות!#REF!+הכנסות!Z217+הכנסות!Z208-T9-T10+הכנסות!Z56+הכנסות!Z156</f>
        <v>#REF!</v>
      </c>
      <c r="U11" s="307" t="e">
        <f>הכנסות!AA231-'ריכוז תקציב'!U6-'ריכוז תקציב'!U7-'ריכוז תקציב'!U8-'ריכוז תקציב'!U9-'ריכוז תקציב'!U10-'ריכוז תקציב'!U17-U18-U16-U15-U14-U13-U12</f>
        <v>#REF!</v>
      </c>
      <c r="V11" s="307" t="e">
        <f>הכנסות!AB231-'ריכוז תקציב'!V6-'ריכוז תקציב'!V7-'ריכוז תקציב'!V8-'ריכוז תקציב'!V9-'ריכוז תקציב'!V10-'ריכוז תקציב'!V17-V18-V16-V15-V14-V13-V12</f>
        <v>#REF!</v>
      </c>
      <c r="W11" s="307" t="e">
        <f>הכנסות!AC231-'ריכוז תקציב'!W6-'ריכוז תקציב'!W7-'ריכוז תקציב'!W8-'ריכוז תקציב'!W9-'ריכוז תקציב'!W10-'ריכוז תקציב'!W17-W18-W16-W15-W14-W13-W12</f>
        <v>#REF!</v>
      </c>
      <c r="X11" s="307">
        <f>הכנסות!AD231-'ריכוז תקציב'!X6-'ריכוז תקציב'!X7-'ריכוז תקציב'!X8-'ריכוז תקציב'!X9-'ריכוז תקציב'!X10-'ריכוז תקציב'!X17-X18-X16-X15-X14-X13-X12</f>
        <v>5846800</v>
      </c>
      <c r="Y11" s="307">
        <f>הכנסות!AE231-'ריכוז תקציב'!Y6-'ריכוז תקציב'!Y7-'ריכוז תקציב'!Y8-'ריכוז תקציב'!Y9-'ריכוז תקציב'!Y10-'ריכוז תקציב'!Y17-Y18-Y16-Y15-Y14-Y13-Y12</f>
        <v>5429100</v>
      </c>
      <c r="Z11" s="307">
        <f>הכנסות!AF231-'ריכוז תקציב'!Z6-'ריכוז תקציב'!Z7-'ריכוז תקציב'!Z8-'ריכוז תקציב'!Z9-'ריכוז תקציב'!Z10-'ריכוז תקציב'!Z17-Z18-Z16-Z15-Z14-Z13-Z12</f>
        <v>5115700</v>
      </c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</row>
    <row r="12" spans="1:50" s="309" customFormat="1" ht="30" customHeight="1" x14ac:dyDescent="0.3">
      <c r="A12" s="290"/>
      <c r="B12" s="304" t="s">
        <v>351</v>
      </c>
      <c r="C12" s="305" t="e">
        <f>הכנסות!E151-הכנסות!E141-הכנסות!E107-הכנסות!E82-הכנסות!E67-הכנסות!#REF!+הכנסות!#REF!+הכנסות!E153-הכנסות!#REF!-הכנסות!#REF!</f>
        <v>#REF!</v>
      </c>
      <c r="D12" s="305" t="e">
        <f>הכנסות!F151-הכנסות!F141-הכנסות!F107-הכנסות!F82-הכנסות!F67-הכנסות!#REF!+הכנסות!#REF!+הכנסות!F153-הכנסות!#REF!-הכנסות!#REF!</f>
        <v>#REF!</v>
      </c>
      <c r="E12" s="305" t="e">
        <f>הכנסות!G151-הכנסות!G141-הכנסות!G107-הכנסות!G82-הכנסות!G67-הכנסות!#REF!+הכנסות!#REF!+הכנסות!G153-הכנסות!#REF!-הכנסות!#REF!</f>
        <v>#REF!</v>
      </c>
      <c r="F12" s="305" t="e">
        <f>הכנסות!H151-הכנסות!H141-הכנסות!H107-הכנסות!H82-הכנסות!H67-הכנסות!#REF!+הכנסות!#REF!+הכנסות!H153-הכנסות!#REF!-הכנסות!#REF!</f>
        <v>#REF!</v>
      </c>
      <c r="G12" s="305" t="e">
        <f>הכנסות!K151-הכנסות!#REF!-הכנסות!K141-הכנסות!K107-הכנסות!K82-הכנסות!K67-הכנסות!#REF!</f>
        <v>#REF!</v>
      </c>
      <c r="H12" s="305" t="e">
        <f>הכנסות!L151-הכנסות!#REF!-הכנסות!L141-הכנסות!L107-הכנסות!L82-הכנסות!L67-הכנסות!#REF!</f>
        <v>#REF!</v>
      </c>
      <c r="I12" s="305" t="e">
        <f>הכנסות!M151-הכנסות!#REF!-הכנסות!M141-הכנסות!M107-הכנסות!M82-הכנסות!M67-הכנסות!#REF!</f>
        <v>#REF!</v>
      </c>
      <c r="J12" s="305" t="e">
        <f>הכנסות!N151-הכנסות!#REF!-הכנסות!N141-הכנסות!N107-הכנסות!N82-הכנסות!N67-הכנסות!#REF!</f>
        <v>#REF!</v>
      </c>
      <c r="K12" s="305" t="e">
        <f>הכנסות!O151-הכנסות!#REF!-הכנסות!O141-הכנסות!O107-הכנסות!O82-הכנסות!O67-הכנסות!#REF!</f>
        <v>#REF!</v>
      </c>
      <c r="L12" s="305" t="e">
        <f>הכנסות!R151-הכנסות!#REF!-הכנסות!R141-הכנסות!R107-הכנסות!R82-הכנסות!R67-הכנסות!#REF!</f>
        <v>#REF!</v>
      </c>
      <c r="M12" s="305" t="e">
        <f>הכנסות!S151-הכנסות!#REF!-הכנסות!S141-הכנסות!S107-הכנסות!S82-הכנסות!S67-הכנסות!#REF!</f>
        <v>#REF!</v>
      </c>
      <c r="N12" s="305" t="e">
        <f>הכנסות!T151-הכנסות!#REF!-הכנסות!T141-הכנסות!T107-הכנסות!T82-הכנסות!T67-הכנסות!#REF!</f>
        <v>#REF!</v>
      </c>
      <c r="O12" s="306" t="e">
        <f>הכנסות!U151-הכנסות!#REF!-הכנסות!U141-הכנסות!U107-הכנסות!U82-הכנסות!U67-הכנסות!#REF!</f>
        <v>#REF!</v>
      </c>
      <c r="P12" s="306" t="e">
        <f>הכנסות!V151-הכנסות!#REF!-הכנסות!V141-הכנסות!V107-הכנסות!V82-הכנסות!V67-הכנסות!#REF!</f>
        <v>#REF!</v>
      </c>
      <c r="Q12" s="306" t="e">
        <f>הכנסות!W151-הכנסות!#REF!-הכנסות!W141-הכנסות!W107-הכנסות!W82-הכנסות!W67-הכנסות!#REF!</f>
        <v>#REF!</v>
      </c>
      <c r="R12" s="306" t="e">
        <f>הכנסות!X151-הכנסות!#REF!-הכנסות!X141-הכנסות!X107-הכנסות!X82-הכנסות!X67-הכנסות!#REF!-הכנסות!X56</f>
        <v>#REF!</v>
      </c>
      <c r="S12" s="306" t="e">
        <f>הכנסות!Y151-הכנסות!#REF!-הכנסות!Y141-הכנסות!Y107-הכנסות!Y82-הכנסות!Y67-הכנסות!#REF!-הכנסות!Y56</f>
        <v>#REF!</v>
      </c>
      <c r="T12" s="306" t="e">
        <f>הכנסות!Z151-הכנסות!#REF!-הכנסות!Z141-הכנסות!Z107-הכנסות!Z82-הכנסות!Z67-הכנסות!#REF!-הכנסות!Z56</f>
        <v>#REF!</v>
      </c>
      <c r="U12" s="307" t="e">
        <f>הכנסות!AA151-U9</f>
        <v>#REF!</v>
      </c>
      <c r="V12" s="307" t="e">
        <f>הכנסות!AB151-V9</f>
        <v>#REF!</v>
      </c>
      <c r="W12" s="307" t="e">
        <f>הכנסות!AC151-W9</f>
        <v>#REF!</v>
      </c>
      <c r="X12" s="307">
        <f>הכנסות!AD151-X9</f>
        <v>70421400</v>
      </c>
      <c r="Y12" s="307">
        <f>הכנסות!AE151-Y9</f>
        <v>73105000</v>
      </c>
      <c r="Z12" s="307">
        <f>הכנסות!AF151-Z9</f>
        <v>83029000</v>
      </c>
      <c r="AA12" s="308"/>
      <c r="AB12" s="308"/>
      <c r="AC12" s="308"/>
      <c r="AD12" s="308"/>
      <c r="AE12" s="308"/>
      <c r="AF12" s="308"/>
      <c r="AG12" s="308"/>
      <c r="AH12" s="308"/>
      <c r="AI12" s="308"/>
      <c r="AJ12" s="308"/>
      <c r="AK12" s="308"/>
      <c r="AL12" s="308"/>
      <c r="AM12" s="308"/>
      <c r="AN12" s="308"/>
      <c r="AO12" s="308"/>
      <c r="AP12" s="308"/>
      <c r="AQ12" s="308"/>
      <c r="AR12" s="308"/>
      <c r="AS12" s="308"/>
      <c r="AT12" s="308"/>
      <c r="AU12" s="308"/>
      <c r="AV12" s="308"/>
      <c r="AW12" s="308"/>
      <c r="AX12" s="308"/>
    </row>
    <row r="13" spans="1:50" s="309" customFormat="1" ht="30" customHeight="1" x14ac:dyDescent="0.3">
      <c r="A13" s="290"/>
      <c r="B13" s="304" t="s">
        <v>352</v>
      </c>
      <c r="C13" s="305" t="e">
        <f>הכנסות!E204-הכנסות!E197-הכנסות!#REF!-הכנסות!#REF!-הכנסות!E184-הכנסות!#REF!-הכנסות!E168-הכנסות!#REF!-הכנסות!E163</f>
        <v>#REF!</v>
      </c>
      <c r="D13" s="305" t="e">
        <f>הכנסות!F204-הכנסות!F197-הכנסות!#REF!-הכנסות!#REF!-הכנסות!F184-הכנסות!#REF!-הכנסות!F168-הכנסות!#REF!-הכנסות!F163</f>
        <v>#REF!</v>
      </c>
      <c r="E13" s="305" t="e">
        <f>הכנסות!G204-הכנסות!G197-הכנסות!#REF!-הכנסות!#REF!-הכנסות!G184-הכנסות!#REF!-הכנסות!G168-הכנסות!#REF!-הכנסות!G163</f>
        <v>#REF!</v>
      </c>
      <c r="F13" s="305" t="e">
        <f>הכנסות!H204-הכנסות!H197-הכנסות!#REF!-הכנסות!#REF!-הכנסות!H184-הכנסות!#REF!-הכנסות!H168-הכנסות!#REF!-הכנסות!H163</f>
        <v>#REF!</v>
      </c>
      <c r="G13" s="305" t="e">
        <f>הכנסות!K204-הכנסות!K197-הכנסות!#REF!-הכנסות!#REF!-הכנסות!K184-הכנסות!#REF!-הכנסות!K168-הכנסות!#REF!-הכנסות!K163</f>
        <v>#REF!</v>
      </c>
      <c r="H13" s="305" t="e">
        <f>הכנסות!L204-הכנסות!L197-הכנסות!#REF!-הכנסות!#REF!-הכנסות!L184-הכנסות!#REF!-הכנסות!L168-הכנסות!#REF!-הכנסות!L163</f>
        <v>#REF!</v>
      </c>
      <c r="I13" s="305" t="e">
        <f>הכנסות!M204-הכנסות!M197-הכנסות!#REF!-הכנסות!#REF!-הכנסות!M184-הכנסות!#REF!-הכנסות!M168-הכנסות!#REF!-הכנסות!M163</f>
        <v>#REF!</v>
      </c>
      <c r="J13" s="305" t="e">
        <f>הכנסות!N204-הכנסות!N197-הכנסות!#REF!-הכנסות!#REF!-הכנסות!N184-הכנסות!#REF!-הכנסות!N168-הכנסות!#REF!-הכנסות!N163</f>
        <v>#REF!</v>
      </c>
      <c r="K13" s="305" t="e">
        <f>הכנסות!O204-הכנסות!O197-הכנסות!#REF!-הכנסות!#REF!-הכנסות!O184-הכנסות!#REF!-הכנסות!O168-הכנסות!#REF!-הכנסות!O163</f>
        <v>#REF!</v>
      </c>
      <c r="L13" s="305" t="e">
        <f>הכנסות!R204-הכנסות!R197-הכנסות!#REF!-הכנסות!#REF!-הכנסות!R184-הכנסות!#REF!-הכנסות!R168-הכנסות!#REF!-הכנסות!R163</f>
        <v>#REF!</v>
      </c>
      <c r="M13" s="305" t="e">
        <f>הכנסות!S204-הכנסות!S197-הכנסות!#REF!-הכנסות!#REF!-הכנסות!S184-הכנסות!#REF!-הכנסות!S168-הכנסות!#REF!-הכנסות!S163</f>
        <v>#REF!</v>
      </c>
      <c r="N13" s="305" t="e">
        <f>הכנסות!T204-הכנסות!T197-הכנסות!#REF!-הכנסות!#REF!-הכנסות!T184-הכנסות!#REF!-הכנסות!T168-הכנסות!#REF!-הכנסות!T163</f>
        <v>#REF!</v>
      </c>
      <c r="O13" s="306" t="e">
        <f>הכנסות!U204-הכנסות!U197-הכנסות!#REF!-הכנסות!#REF!-הכנסות!U184-הכנסות!#REF!-הכנסות!U168-הכנסות!#REF!-הכנסות!U163</f>
        <v>#REF!</v>
      </c>
      <c r="P13" s="306" t="e">
        <f>הכנסות!V204-הכנסות!V197-הכנסות!#REF!-הכנסות!#REF!-הכנסות!V184-הכנסות!#REF!-הכנסות!V168-הכנסות!#REF!-הכנסות!V163</f>
        <v>#REF!</v>
      </c>
      <c r="Q13" s="306" t="e">
        <f>הכנסות!W204-הכנסות!W197-הכנסות!#REF!-הכנסות!#REF!-הכנסות!W184-הכנסות!#REF!-הכנסות!W168-הכנסות!#REF!-הכנסות!W163</f>
        <v>#REF!</v>
      </c>
      <c r="R13" s="306" t="e">
        <f>הכנסות!X204-הכנסות!X197-הכנסות!#REF!-הכנסות!#REF!-הכנסות!X184-הכנסות!#REF!-הכנסות!X168-הכנסות!#REF!-הכנסות!X163</f>
        <v>#REF!</v>
      </c>
      <c r="S13" s="306" t="e">
        <f>הכנסות!Y204-הכנסות!Y197-הכנסות!#REF!-הכנסות!#REF!-הכנסות!Y184-הכנסות!#REF!-הכנסות!Y168-הכנסות!#REF!-הכנסות!Y163</f>
        <v>#REF!</v>
      </c>
      <c r="T13" s="306" t="e">
        <f>הכנסות!Z204-הכנסות!Z197-הכנסות!#REF!-הכנסות!#REF!-הכנסות!Z184-הכנסות!#REF!-הכנסות!Z168-הכנסות!#REF!-הכנסות!Z163</f>
        <v>#REF!</v>
      </c>
      <c r="U13" s="307" t="e">
        <f>הכנסות!AA204-U10</f>
        <v>#REF!</v>
      </c>
      <c r="V13" s="307" t="e">
        <f>הכנסות!AB204-V10</f>
        <v>#REF!</v>
      </c>
      <c r="W13" s="307" t="e">
        <f>הכנסות!AC204-W10</f>
        <v>#REF!</v>
      </c>
      <c r="X13" s="307">
        <f>הכנסות!AD204-X10</f>
        <v>17420100</v>
      </c>
      <c r="Y13" s="307">
        <f>הכנסות!AE204-Y10</f>
        <v>17372500</v>
      </c>
      <c r="Z13" s="307">
        <f>הכנסות!AF204-Z10</f>
        <v>18086500</v>
      </c>
      <c r="AA13" s="310"/>
      <c r="AB13" s="310"/>
      <c r="AC13" s="310"/>
      <c r="AD13" s="310"/>
      <c r="AE13" s="310"/>
      <c r="AF13" s="310"/>
      <c r="AG13" s="310"/>
      <c r="AH13" s="310"/>
      <c r="AI13" s="310"/>
      <c r="AJ13" s="310"/>
      <c r="AK13" s="310"/>
      <c r="AL13" s="310"/>
      <c r="AM13" s="310"/>
      <c r="AN13" s="310"/>
      <c r="AO13" s="310"/>
      <c r="AP13" s="310"/>
      <c r="AQ13" s="310"/>
      <c r="AR13" s="310"/>
      <c r="AS13" s="310"/>
      <c r="AT13" s="310"/>
      <c r="AU13" s="310"/>
      <c r="AV13" s="310"/>
      <c r="AW13" s="310"/>
      <c r="AX13" s="310"/>
    </row>
    <row r="14" spans="1:50" s="309" customFormat="1" ht="30" customHeight="1" x14ac:dyDescent="0.3">
      <c r="A14" s="290"/>
      <c r="B14" s="304" t="s">
        <v>353</v>
      </c>
      <c r="C14" s="305">
        <f>הכנסות!E17</f>
        <v>15261750</v>
      </c>
      <c r="D14" s="305">
        <f>הכנסות!F17</f>
        <v>0</v>
      </c>
      <c r="E14" s="305">
        <f>הכנסות!G17</f>
        <v>19293714</v>
      </c>
      <c r="F14" s="305">
        <f>הכנסות!H17</f>
        <v>18361700</v>
      </c>
      <c r="G14" s="305">
        <f>הכנסות!K17</f>
        <v>20413000</v>
      </c>
      <c r="H14" s="305">
        <f>הכנסות!L17</f>
        <v>13772000</v>
      </c>
      <c r="I14" s="305">
        <f>הכנסות!M17</f>
        <v>15266000</v>
      </c>
      <c r="J14" s="305">
        <f>הכנסות!N17</f>
        <v>0</v>
      </c>
      <c r="K14" s="305">
        <f>הכנסות!O17</f>
        <v>20354666.666666668</v>
      </c>
      <c r="L14" s="305">
        <f>הכנסות!R17</f>
        <v>19888000</v>
      </c>
      <c r="M14" s="305">
        <f>הכנסות!S17</f>
        <v>19805000</v>
      </c>
      <c r="N14" s="305">
        <f>הכנסות!T17</f>
        <v>19805000</v>
      </c>
      <c r="O14" s="306">
        <f>הכנסות!U17</f>
        <v>19587000</v>
      </c>
      <c r="P14" s="306">
        <f>הכנסות!V17</f>
        <v>9793700</v>
      </c>
      <c r="Q14" s="306">
        <f>הכנסות!W17</f>
        <v>19587400</v>
      </c>
      <c r="R14" s="306">
        <f>הכנסות!X17</f>
        <v>19587000</v>
      </c>
      <c r="S14" s="306">
        <f>הכנסות!Y17</f>
        <v>17953490</v>
      </c>
      <c r="T14" s="306">
        <f>הכנסות!Z17</f>
        <v>21544188</v>
      </c>
      <c r="U14" s="307">
        <f>הכנסות!AA17</f>
        <v>19587000</v>
      </c>
      <c r="V14" s="307">
        <f>הכנסות!AB17</f>
        <v>13746000</v>
      </c>
      <c r="W14" s="307">
        <f>הכנסות!AC17</f>
        <v>18328000</v>
      </c>
      <c r="X14" s="307">
        <f>הכנסות!AD17</f>
        <v>18674000</v>
      </c>
      <c r="Y14" s="307">
        <f>הכנסות!AE17</f>
        <v>18728000</v>
      </c>
      <c r="Z14" s="307">
        <f>הכנסות!AF17</f>
        <v>19264000</v>
      </c>
      <c r="AA14" s="308"/>
      <c r="AB14" s="308"/>
      <c r="AC14" s="308"/>
      <c r="AD14" s="308"/>
      <c r="AE14" s="308"/>
      <c r="AF14" s="308"/>
      <c r="AG14" s="308"/>
      <c r="AH14" s="308"/>
      <c r="AI14" s="308"/>
      <c r="AJ14" s="308"/>
      <c r="AK14" s="308"/>
      <c r="AL14" s="308"/>
      <c r="AM14" s="308"/>
      <c r="AN14" s="308"/>
      <c r="AO14" s="308"/>
      <c r="AP14" s="308"/>
      <c r="AQ14" s="308"/>
      <c r="AR14" s="308"/>
      <c r="AS14" s="308"/>
      <c r="AT14" s="308"/>
      <c r="AU14" s="308"/>
      <c r="AV14" s="308"/>
      <c r="AW14" s="308"/>
      <c r="AX14" s="308"/>
    </row>
    <row r="15" spans="1:50" ht="30" customHeight="1" x14ac:dyDescent="0.3">
      <c r="B15" s="304" t="s">
        <v>354</v>
      </c>
      <c r="C15" s="305">
        <f>הכנסות!E37+הכנסות!E159+הכנסות!E206+הכנסות!E222+הכנסות!E20</f>
        <v>3365950</v>
      </c>
      <c r="D15" s="305">
        <f>הכנסות!F37+הכנסות!F159+הכנסות!F206+הכנסות!F222+הכנסות!F20</f>
        <v>102700</v>
      </c>
      <c r="E15" s="305">
        <f>הכנסות!G37+הכנסות!G159+הכנסות!G206+הכנסות!G222+הכנסות!G20</f>
        <v>1669582</v>
      </c>
      <c r="F15" s="305">
        <f>הכנסות!H37+הכנסות!H159+הכנסות!H206+הכנסות!H222+הכנסות!H20+הכנסות!H32</f>
        <v>1982500</v>
      </c>
      <c r="G15" s="305" t="e">
        <f>הכנסות!K20+הכנסות!K32+הכנסות!K37+הכנסות!#REF!+הכנסות!K153+הכנסות!K159+הכנסות!K206+הכנסות!K222</f>
        <v>#REF!</v>
      </c>
      <c r="H15" s="305" t="e">
        <f>הכנסות!L20+הכנסות!L32+הכנסות!L37+הכנסות!#REF!+הכנסות!L153+הכנסות!L159+הכנסות!L206+הכנסות!L222</f>
        <v>#REF!</v>
      </c>
      <c r="I15" s="305" t="e">
        <f>הכנסות!M20+הכנסות!M32+הכנסות!M37+הכנסות!#REF!+הכנסות!M153+הכנסות!M159+הכנסות!M206+הכנסות!M222</f>
        <v>#REF!</v>
      </c>
      <c r="J15" s="305" t="e">
        <f>הכנסות!N20+הכנסות!N32+הכנסות!N37+הכנסות!#REF!+הכנסות!N153+הכנסות!N159+הכנסות!N206+הכנסות!N222</f>
        <v>#REF!</v>
      </c>
      <c r="K15" s="305" t="e">
        <f>הכנסות!O20+הכנסות!O32+הכנסות!O37+הכנסות!#REF!+הכנסות!O153+הכנסות!O159+הכנסות!O206+הכנסות!O222</f>
        <v>#REF!</v>
      </c>
      <c r="L15" s="305" t="e">
        <f>הכנסות!R20+הכנסות!R32+הכנסות!R37+הכנסות!#REF!+הכנסות!R153+הכנסות!R159+הכנסות!R206+הכנסות!R222+הכנסות!R33+הכנסות!#REF!</f>
        <v>#REF!</v>
      </c>
      <c r="M15" s="305" t="e">
        <f>הכנסות!S20+הכנסות!S32+הכנסות!S37+הכנסות!#REF!+הכנסות!S153+הכנסות!S159+הכנסות!S206+הכנסות!S222+הכנסות!S33+הכנסות!#REF!</f>
        <v>#REF!</v>
      </c>
      <c r="N15" s="305" t="e">
        <f>הכנסות!T20+הכנסות!T32+הכנסות!T37+הכנסות!#REF!+הכנסות!T153+הכנסות!T159+הכנסות!T206+הכנסות!T222+הכנסות!T33+הכנסות!#REF!</f>
        <v>#REF!</v>
      </c>
      <c r="O15" s="306" t="e">
        <f>הכנסות!U20+הכנסות!U32+הכנסות!U37+הכנסות!#REF!+הכנסות!U153+הכנסות!U159+הכנסות!U206+הכנסות!U222+הכנסות!U33+הכנסות!#REF!</f>
        <v>#REF!</v>
      </c>
      <c r="P15" s="306" t="e">
        <f>הכנסות!V20+הכנסות!V32+הכנסות!V37+הכנסות!#REF!+הכנסות!V153+הכנסות!V159+הכנסות!V206+הכנסות!V222+הכנסות!V33+הכנסות!#REF!</f>
        <v>#REF!</v>
      </c>
      <c r="Q15" s="306" t="e">
        <f>הכנסות!W20+הכנסות!W32+הכנסות!W37+הכנסות!#REF!+הכנסות!W153+הכנסות!W159+הכנסות!W206+הכנסות!W222+הכנסות!W33+הכנסות!#REF!</f>
        <v>#REF!</v>
      </c>
      <c r="R15" s="306" t="e">
        <f>הכנסות!X20+הכנסות!X32+הכנסות!X37+הכנסות!#REF!+הכנסות!X153+הכנסות!X159+הכנסות!X206+הכנסות!X222+הכנסות!X33+הכנסות!#REF!+הכנסות!#REF!+הכנסות!X34+הכנסות!#REF!+הכנסות!X154+הכנסות!#REF!</f>
        <v>#REF!</v>
      </c>
      <c r="S15" s="306" t="e">
        <f>הכנסות!Y20+הכנסות!Y32+הכנסות!Y37+הכנסות!#REF!+הכנסות!Y153+הכנסות!Y159+הכנסות!Y206+הכנסות!Y222+הכנסות!Y33+הכנסות!#REF!+הכנסות!#REF!+הכנסות!Y34+הכנסות!#REF!+הכנסות!Y154+הכנסות!#REF!</f>
        <v>#REF!</v>
      </c>
      <c r="T15" s="306" t="e">
        <f>הכנסות!Z20+הכנסות!Z32+הכנסות!Z37+הכנסות!#REF!+הכנסות!Z153+הכנסות!Z159+הכנסות!Z206+הכנסות!Z222+הכנסות!Z33+הכנסות!#REF!+הכנסות!#REF!+הכנסות!Z34+הכנסות!#REF!+הכנסות!Z154+הכנסות!#REF!</f>
        <v>#REF!</v>
      </c>
      <c r="U15" s="307" t="e">
        <f>הכנסות!AA20+הכנסות!AA32+הכנסות!AA37+הכנסות!#REF!+הכנסות!AA153+הכנסות!AA159+הכנסות!AA206+הכנסות!AA222+הכנסות!AA33+הכנסות!#REF!+הכנסות!#REF!+הכנסות!AA34+הכנסות!#REF!+הכנסות!AA154+הכנסות!#REF!+הכנסות!AA156</f>
        <v>#REF!</v>
      </c>
      <c r="V15" s="307" t="e">
        <f>הכנסות!AB20+הכנסות!AB32+הכנסות!AB37+הכנסות!#REF!+הכנסות!AB153+הכנסות!AB159+הכנסות!AB206+הכנסות!AB222+הכנסות!AB33+הכנסות!#REF!+הכנסות!#REF!+הכנסות!AB34+הכנסות!#REF!+הכנסות!AB154+הכנסות!#REF!+הכנסות!AB156</f>
        <v>#REF!</v>
      </c>
      <c r="W15" s="307" t="e">
        <f>הכנסות!AC20+הכנסות!AC32+הכנסות!AC37+הכנסות!#REF!+הכנסות!AC153+הכנסות!AC159+הכנסות!AC206+הכנסות!AC222+הכנסות!AC33+הכנסות!#REF!+הכנסות!#REF!+הכנסות!AC34+הכנסות!#REF!+הכנסות!AC154+הכנסות!#REF!+הכנסות!AC156</f>
        <v>#REF!</v>
      </c>
      <c r="X15" s="307">
        <f>הכנסות!AD20+הכנסות!AD32+הכנסות!AD37+הכנסות!AD153+הכנסות!AD159+הכנסות!AD206+הכנסות!AD222+הכנסות!AD33+הכנסות!AD34+הכנסות!AD154+הכנסות!AD156</f>
        <v>2279800</v>
      </c>
      <c r="Y15" s="307">
        <f>הכנסות!AE20+הכנסות!AE32+הכנסות!AE37+הכנסות!AE153+הכנסות!AE159+הכנסות!AE206+הכנסות!AE222+הכנסות!AE33+הכנסות!AE34+הכנסות!AE154+הכנסות!AE156</f>
        <v>1940800</v>
      </c>
      <c r="Z15" s="307">
        <f>הכנסות!AF20+הכנסות!AF32+הכנסות!AF37+הכנסות!AF153+הכנסות!AF159+הכנסות!AF206+הכנסות!AF222+הכנסות!AF33+הכנסות!AF34+הכנסות!AF154+הכנסות!AF156</f>
        <v>2140800</v>
      </c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</row>
    <row r="16" spans="1:50" ht="30" customHeight="1" x14ac:dyDescent="0.3">
      <c r="B16" s="304" t="s">
        <v>401</v>
      </c>
      <c r="C16" s="305"/>
      <c r="D16" s="305"/>
      <c r="E16" s="305"/>
      <c r="F16" s="305"/>
      <c r="G16" s="305"/>
      <c r="H16" s="305"/>
      <c r="I16" s="305"/>
      <c r="J16" s="305"/>
      <c r="K16" s="305"/>
      <c r="L16" s="305"/>
      <c r="M16" s="305">
        <v>3495000</v>
      </c>
      <c r="N16" s="305">
        <v>3495000</v>
      </c>
      <c r="O16" s="306">
        <f>הכנסות!U18</f>
        <v>3457000</v>
      </c>
      <c r="P16" s="306">
        <f>הכנסות!V18</f>
        <v>0</v>
      </c>
      <c r="Q16" s="306">
        <f>הכנסות!W18</f>
        <v>1728500</v>
      </c>
      <c r="R16" s="306">
        <f>הכנסות!X18</f>
        <v>3457000</v>
      </c>
      <c r="S16" s="306">
        <f>הכנסות!Y18</f>
        <v>1497211</v>
      </c>
      <c r="T16" s="306">
        <f>הכנסות!Z18</f>
        <v>1497211</v>
      </c>
      <c r="U16" s="307">
        <f>הכנסות!AA18</f>
        <v>3457000</v>
      </c>
      <c r="V16" s="307">
        <f>הכנסות!AB18</f>
        <v>2696000</v>
      </c>
      <c r="W16" s="307">
        <f>הכנסות!AC18</f>
        <v>3235200</v>
      </c>
      <c r="X16" s="307">
        <f>הכנסות!AD18</f>
        <v>3295000</v>
      </c>
      <c r="Y16" s="307">
        <f>הכנסות!AE18</f>
        <v>3305000</v>
      </c>
      <c r="Z16" s="307">
        <f>הכנסות!AF18</f>
        <v>3400000</v>
      </c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</row>
    <row r="17" spans="2:50" ht="30" customHeight="1" x14ac:dyDescent="0.3">
      <c r="B17" s="304" t="s">
        <v>600</v>
      </c>
      <c r="C17" s="305">
        <f>הכנסות!E19</f>
        <v>1282500</v>
      </c>
      <c r="D17" s="305">
        <f>הכנסות!F19</f>
        <v>0</v>
      </c>
      <c r="E17" s="305">
        <f>הכנסות!G19</f>
        <v>0</v>
      </c>
      <c r="F17" s="305">
        <f>הכנסות!H19</f>
        <v>3240300</v>
      </c>
      <c r="G17" s="305">
        <f>הכנסות!K19</f>
        <v>3602000</v>
      </c>
      <c r="H17" s="305">
        <f>הכנסות!L19</f>
        <v>0</v>
      </c>
      <c r="I17" s="305">
        <f>הכנסות!M19</f>
        <v>2694000</v>
      </c>
      <c r="J17" s="305">
        <f>הכנסות!N19</f>
        <v>0</v>
      </c>
      <c r="K17" s="305">
        <f>הכנסות!O19</f>
        <v>3592000</v>
      </c>
      <c r="L17" s="305">
        <f>הכנסות!R19</f>
        <v>3412000</v>
      </c>
      <c r="M17" s="305"/>
      <c r="N17" s="305"/>
      <c r="O17" s="306">
        <f>הכנסות!U19</f>
        <v>256000</v>
      </c>
      <c r="P17" s="306">
        <f>הכנסות!V19</f>
        <v>1497000</v>
      </c>
      <c r="Q17" s="306">
        <f>הכנסות!W19</f>
        <v>1497000</v>
      </c>
      <c r="R17" s="306">
        <f>הכנסות!X19</f>
        <v>1497000</v>
      </c>
      <c r="S17" s="306">
        <f>הכנסות!Y19</f>
        <v>0</v>
      </c>
      <c r="T17" s="306">
        <f>הכנסות!Z19</f>
        <v>0</v>
      </c>
      <c r="U17" s="307">
        <f>הכנסות!AA19</f>
        <v>0</v>
      </c>
      <c r="V17" s="307">
        <f>הכנסות!AB19</f>
        <v>464000</v>
      </c>
      <c r="W17" s="307">
        <f>הכנסות!AC19</f>
        <v>464000</v>
      </c>
      <c r="X17" s="307">
        <f>הכנסות!AD19</f>
        <v>464000</v>
      </c>
      <c r="Y17" s="307">
        <f>הכנסות!AE19</f>
        <v>4837000</v>
      </c>
      <c r="Z17" s="307">
        <f>הכנסות!AF19</f>
        <v>4206000</v>
      </c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</row>
    <row r="18" spans="2:50" ht="30" customHeight="1" x14ac:dyDescent="0.3">
      <c r="B18" s="304" t="s">
        <v>378</v>
      </c>
      <c r="C18" s="305">
        <f>הכנסות!E230</f>
        <v>0</v>
      </c>
      <c r="D18" s="305">
        <f>הכנסות!F230</f>
        <v>0</v>
      </c>
      <c r="E18" s="305">
        <f>הכנסות!G230</f>
        <v>0</v>
      </c>
      <c r="F18" s="305">
        <f>הכנסות!H230</f>
        <v>0</v>
      </c>
      <c r="G18" s="305">
        <f>הכנסות!K230</f>
        <v>0</v>
      </c>
      <c r="H18" s="305">
        <f>הכנסות!L230</f>
        <v>0</v>
      </c>
      <c r="I18" s="305">
        <f>הכנסות!M230</f>
        <v>400000</v>
      </c>
      <c r="J18" s="305">
        <f>הכנסות!N230</f>
        <v>400000</v>
      </c>
      <c r="K18" s="305">
        <f>הכנסות!O230</f>
        <v>400000</v>
      </c>
      <c r="L18" s="305">
        <f>הכנסות!R230</f>
        <v>0</v>
      </c>
      <c r="M18" s="305">
        <f>הכנסות!S230</f>
        <v>1750000</v>
      </c>
      <c r="N18" s="305">
        <f>הכנסות!T230</f>
        <v>1750000</v>
      </c>
      <c r="O18" s="306">
        <f>הכנסות!U230</f>
        <v>1100000</v>
      </c>
      <c r="P18" s="306">
        <f>הכנסות!V230</f>
        <v>3113000</v>
      </c>
      <c r="Q18" s="306">
        <f>הכנסות!W230</f>
        <v>3113000</v>
      </c>
      <c r="R18" s="306">
        <f>הכנסות!X230</f>
        <v>3113000</v>
      </c>
      <c r="S18" s="306">
        <f>הכנסות!Y230</f>
        <v>3413000</v>
      </c>
      <c r="T18" s="306">
        <f>הכנסות!Z230</f>
        <v>3413000</v>
      </c>
      <c r="U18" s="307">
        <f>הכנסות!AA230</f>
        <v>0</v>
      </c>
      <c r="V18" s="307">
        <f>הכנסות!AB230</f>
        <v>0</v>
      </c>
      <c r="W18" s="307">
        <f>הכנסות!AC230</f>
        <v>0</v>
      </c>
      <c r="X18" s="307">
        <f>הכנסות!AD230</f>
        <v>0</v>
      </c>
      <c r="Y18" s="307">
        <f>הכנסות!AE230</f>
        <v>0</v>
      </c>
      <c r="Z18" s="307">
        <f>הכנסות!AF230</f>
        <v>0</v>
      </c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</row>
    <row r="19" spans="2:50" ht="23.1" customHeight="1" x14ac:dyDescent="0.3">
      <c r="B19" s="311" t="s">
        <v>355</v>
      </c>
      <c r="C19" s="312" t="e">
        <f t="shared" ref="C19:Z19" si="0">SUM(C6:C18)</f>
        <v>#REF!</v>
      </c>
      <c r="D19" s="312" t="e">
        <f t="shared" si="0"/>
        <v>#REF!</v>
      </c>
      <c r="E19" s="312" t="e">
        <f t="shared" si="0"/>
        <v>#REF!</v>
      </c>
      <c r="F19" s="312" t="e">
        <f t="shared" si="0"/>
        <v>#REF!</v>
      </c>
      <c r="G19" s="312" t="e">
        <f t="shared" si="0"/>
        <v>#REF!</v>
      </c>
      <c r="H19" s="312" t="e">
        <f t="shared" si="0"/>
        <v>#REF!</v>
      </c>
      <c r="I19" s="312" t="e">
        <f t="shared" si="0"/>
        <v>#REF!</v>
      </c>
      <c r="J19" s="312" t="e">
        <f t="shared" si="0"/>
        <v>#REF!</v>
      </c>
      <c r="K19" s="312" t="e">
        <f t="shared" si="0"/>
        <v>#REF!</v>
      </c>
      <c r="L19" s="312" t="e">
        <f t="shared" si="0"/>
        <v>#REF!</v>
      </c>
      <c r="M19" s="312" t="e">
        <f t="shared" si="0"/>
        <v>#REF!</v>
      </c>
      <c r="N19" s="312" t="e">
        <f t="shared" si="0"/>
        <v>#REF!</v>
      </c>
      <c r="O19" s="312" t="e">
        <f t="shared" si="0"/>
        <v>#REF!</v>
      </c>
      <c r="P19" s="312" t="e">
        <f t="shared" si="0"/>
        <v>#REF!</v>
      </c>
      <c r="Q19" s="312" t="e">
        <f t="shared" si="0"/>
        <v>#REF!</v>
      </c>
      <c r="R19" s="312" t="e">
        <f t="shared" si="0"/>
        <v>#REF!</v>
      </c>
      <c r="S19" s="312" t="e">
        <f t="shared" si="0"/>
        <v>#REF!</v>
      </c>
      <c r="T19" s="312" t="e">
        <f t="shared" si="0"/>
        <v>#REF!</v>
      </c>
      <c r="U19" s="312" t="e">
        <f t="shared" si="0"/>
        <v>#REF!</v>
      </c>
      <c r="V19" s="312" t="e">
        <f t="shared" si="0"/>
        <v>#REF!</v>
      </c>
      <c r="W19" s="312" t="e">
        <f t="shared" si="0"/>
        <v>#REF!</v>
      </c>
      <c r="X19" s="312">
        <f t="shared" si="0"/>
        <v>161935100.40000001</v>
      </c>
      <c r="Y19" s="312">
        <f t="shared" si="0"/>
        <v>168212400</v>
      </c>
      <c r="Z19" s="312">
        <f t="shared" si="0"/>
        <v>181058000</v>
      </c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</row>
    <row r="20" spans="2:50" ht="23.1" customHeight="1" x14ac:dyDescent="0.3">
      <c r="B20" s="313"/>
      <c r="C20" s="314"/>
      <c r="D20" s="314"/>
      <c r="E20" s="314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V20" s="291"/>
      <c r="AW20" s="291"/>
      <c r="AX20" s="291"/>
    </row>
    <row r="21" spans="2:50" ht="44.25" customHeight="1" x14ac:dyDescent="0.25">
      <c r="B21" s="299" t="s">
        <v>356</v>
      </c>
      <c r="C21" s="300" t="s">
        <v>393</v>
      </c>
      <c r="D21" s="300" t="s">
        <v>387</v>
      </c>
      <c r="E21" s="300" t="s">
        <v>415</v>
      </c>
      <c r="F21" s="299" t="s">
        <v>398</v>
      </c>
      <c r="G21" s="301" t="s">
        <v>453</v>
      </c>
      <c r="H21" s="85" t="s">
        <v>427</v>
      </c>
      <c r="I21" s="85" t="s">
        <v>458</v>
      </c>
      <c r="J21" s="85" t="s">
        <v>428</v>
      </c>
      <c r="K21" s="85" t="s">
        <v>456</v>
      </c>
      <c r="L21" s="85" t="s">
        <v>473</v>
      </c>
      <c r="M21" s="85" t="s">
        <v>580</v>
      </c>
      <c r="N21" s="85" t="s">
        <v>590</v>
      </c>
      <c r="O21" s="85" t="s">
        <v>476</v>
      </c>
      <c r="P21" s="85" t="s">
        <v>595</v>
      </c>
      <c r="Q21" s="85" t="s">
        <v>599</v>
      </c>
      <c r="R21" s="301" t="s">
        <v>604</v>
      </c>
      <c r="S21" s="85" t="s">
        <v>605</v>
      </c>
      <c r="T21" s="85" t="s">
        <v>599</v>
      </c>
      <c r="U21" s="301" t="s">
        <v>606</v>
      </c>
      <c r="V21" s="301" t="s">
        <v>637</v>
      </c>
      <c r="W21" s="301" t="s">
        <v>653</v>
      </c>
      <c r="X21" s="302" t="s">
        <v>654</v>
      </c>
      <c r="Y21" s="302" t="s">
        <v>692</v>
      </c>
      <c r="Z21" s="302" t="s">
        <v>691</v>
      </c>
      <c r="AA21" s="301" t="s">
        <v>626</v>
      </c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V21" s="291"/>
      <c r="AW21" s="291"/>
      <c r="AX21" s="291"/>
    </row>
    <row r="22" spans="2:50" ht="23.1" customHeight="1" x14ac:dyDescent="0.3">
      <c r="B22" s="304" t="s">
        <v>357</v>
      </c>
      <c r="C22" s="305" t="e">
        <f>הוצאות!C4+הוצאות!C5+הוצאות!#REF!+הוצאות!#REF!+הוצאות!C6+הוצאות!C29+הוצאות!C34+הוצאות!C35+הוצאות!C45+הוצאות!C52+הוצאות!C53+הוצאות!C55+הוצאות!C72+הוצאות!C84+הוצאות!C87+הוצאות!C99+הוצאות!C106+הוצאות!C119+הוצאות!C137+הוצאות!C330+הוצאות!C331+הוצאות!C347+הוצאות!C361+הוצאות!C364+הוצאות!C464+הוצאות!C473+הוצאות!C349+הוצאות!C39</f>
        <v>#REF!</v>
      </c>
      <c r="D22" s="305" t="e">
        <f>הוצאות!D4+הוצאות!D5+הוצאות!#REF!+הוצאות!#REF!+הוצאות!D6+הוצאות!D29+הוצאות!D34+הוצאות!D35+הוצאות!D45+הוצאות!D52+הוצאות!D53+הוצאות!D55+הוצאות!D72+הוצאות!D84+הוצאות!D87+הוצאות!D99+הוצאות!D106+הוצאות!D119+הוצאות!D137+הוצאות!D330+הוצאות!D331+הוצאות!D347+הוצאות!D361+הוצאות!D364+הוצאות!D464+הוצאות!D473+הוצאות!D349+הוצאות!D39</f>
        <v>#REF!</v>
      </c>
      <c r="E22" s="305" t="e">
        <f>הוצאות!E4+הוצאות!E5+הוצאות!#REF!+הוצאות!#REF!+הוצאות!E6+הוצאות!E29+הוצאות!E34+הוצאות!E35+הוצאות!E45+הוצאות!E52+הוצאות!E53+הוצאות!E55+הוצאות!E72+הוצאות!E84+הוצאות!E87+הוצאות!E99+הוצאות!E106+הוצאות!E119+הוצאות!E137+הוצאות!E330+הוצאות!E331+הוצאות!E347+הוצאות!E361+הוצאות!E364+הוצאות!E464+הוצאות!E473+הוצאות!E349+הוצאות!E39+הוצאות!E340</f>
        <v>#REF!</v>
      </c>
      <c r="F22" s="305" t="e">
        <f>הוצאות!F4+הוצאות!F5+הוצאות!#REF!+הוצאות!#REF!+הוצאות!F6+הוצאות!F29+הוצאות!F34+הוצאות!F35+הוצאות!F45+הוצאות!F52+הוצאות!F53+הוצאות!F55+הוצאות!F72+הוצאות!F84+הוצאות!F87+הוצאות!F99+הוצאות!F106+הוצאות!F119+הוצאות!F137+הוצאות!F330+הוצאות!F331+הוצאות!F347+הוצאות!F361+הוצאות!F364+הוצאות!F464+הוצאות!F473+הוצאות!F349+הוצאות!F39+הוצאות!F340+הוצאות!#REF!+הוצאות!F94</f>
        <v>#REF!</v>
      </c>
      <c r="G22" s="305" t="e">
        <f>הוצאות!G4+הוצאות!G5+הוצאות!#REF!+הוצאות!#REF!+הוצאות!G6+הוצאות!G8+הוצאות!G26+הוצאות!G29+הוצאות!G34+הוצאות!G35+הוצאות!G39+הוצאות!G45+הוצאות!G52+הוצאות!G53+הוצאות!G55+הוצאות!G72+הוצאות!G84+הוצאות!G87+הוצאות!G94+הוצאות!G99+הוצאות!G95+הוצאות!G106+הוצאות!G118+הוצאות!G119+הוצאות!G137+הוצאות!G331+הוצאות!G340+הוצאות!G347+הוצאות!G349+הוצאות!G361+הוצאות!G364+הוצאות!G464+הוצאות!G473</f>
        <v>#REF!</v>
      </c>
      <c r="H22" s="305" t="e">
        <f>הוצאות!H4+הוצאות!H5+הוצאות!#REF!+הוצאות!#REF!+הוצאות!H6+הוצאות!H8+הוצאות!H26+הוצאות!H29+הוצאות!H34+הוצאות!H35+הוצאות!H39+הוצאות!H45+הוצאות!H52+הוצאות!H53+הוצאות!H55+הוצאות!H72+הוצאות!H84+הוצאות!H87+הוצאות!H94+הוצאות!H99+הוצאות!H95+הוצאות!H106+הוצאות!H118+הוצאות!H119+הוצאות!H137+הוצאות!H331+הוצאות!H340+הוצאות!H347+הוצאות!H349+הוצאות!H361+הוצאות!H364+הוצאות!H464+הוצאות!H473</f>
        <v>#REF!</v>
      </c>
      <c r="I22" s="305" t="e">
        <f>הוצאות!I4+הוצאות!I5+הוצאות!#REF!+הוצאות!#REF!+הוצאות!I6+הוצאות!I8+הוצאות!I26+הוצאות!I29+הוצאות!I34+הוצאות!I35+הוצאות!I39+הוצאות!I45+הוצאות!I52+הוצאות!I53+הוצאות!I55+הוצאות!I72+הוצאות!I84+הוצאות!I87+הוצאות!I94+הוצאות!I99+הוצאות!I95+הוצאות!I106+הוצאות!I118+הוצאות!I119+הוצאות!I137+הוצאות!I331+הוצאות!I340+הוצאות!I347+הוצאות!I349+הוצאות!I361+הוצאות!I364+הוצאות!I464+הוצאות!I473</f>
        <v>#REF!</v>
      </c>
      <c r="J22" s="305" t="e">
        <f>הוצאות!J4+הוצאות!J5+הוצאות!#REF!+הוצאות!#REF!+הוצאות!J6+הוצאות!J8+הוצאות!J26+הוצאות!J29+הוצאות!J34+הוצאות!J35+הוצאות!J39+הוצאות!J45+הוצאות!J52+הוצאות!J53+הוצאות!J55+הוצאות!J72+הוצאות!J84+הוצאות!J87+הוצאות!J94+הוצאות!J99+הוצאות!J95+הוצאות!J106+הוצאות!J118+הוצאות!J119+הוצאות!J137+הוצאות!J331+הוצאות!J340+הוצאות!J347+הוצאות!J349+הוצאות!J361+הוצאות!J364+הוצאות!J464+הוצאות!J473</f>
        <v>#REF!</v>
      </c>
      <c r="K22" s="305" t="e">
        <f>הוצאות!K4+הוצאות!K5+הוצאות!#REF!+הוצאות!#REF!+הוצאות!K6+הוצאות!K8+הוצאות!K26+הוצאות!K29+הוצאות!K34+הוצאות!K35+הוצאות!K39+הוצאות!K45+הוצאות!K52+הוצאות!K53+הוצאות!K55+הוצאות!K72+הוצאות!K84+הוצאות!K87+הוצאות!K94+הוצאות!K99+הוצאות!K95+הוצאות!K106+הוצאות!K118+הוצאות!K119+הוצאות!K137+הוצאות!K331+הוצאות!K340+הוצאות!K347+הוצאות!K349+הוצאות!K361+הוצאות!K364+הוצאות!K464+הוצאות!K473</f>
        <v>#REF!</v>
      </c>
      <c r="L22" s="305" t="e">
        <f>הוצאות!N4+הוצאות!N5+הוצאות!#REF!+הוצאות!#REF!+הוצאות!N6+הוצאות!N8+הוצאות!N26+הוצאות!N29+הוצאות!N34+הוצאות!N35+הוצאות!N39+הוצאות!N45+הוצאות!N52+הוצאות!N53+הוצאות!N55+הוצאות!N72+הוצאות!N84+הוצאות!N87+הוצאות!N94+הוצאות!N99+הוצאות!N95+הוצאות!N106+הוצאות!N118+הוצאות!N119+הוצאות!N137+הוצאות!N331+הוצאות!N340+הוצאות!N347+הוצאות!N349+הוצאות!N361+הוצאות!N364+הוצאות!N464+הוצאות!N473+הוצאות!#REF!+הוצאות!#REF!+הוצאות!N477</f>
        <v>#REF!</v>
      </c>
      <c r="M22" s="305" t="e">
        <f>הוצאות!O4+הוצאות!O5+הוצאות!#REF!+הוצאות!#REF!+הוצאות!O6+הוצאות!O8+הוצאות!O26+הוצאות!O29+הוצאות!O34+הוצאות!O35+הוצאות!O39+הוצאות!O45+הוצאות!O52+הוצאות!O53+הוצאות!O55+הוצאות!O72+הוצאות!O84+הוצאות!O87+הוצאות!O94+הוצאות!O99+הוצאות!O95+הוצאות!O106+הוצאות!O118+הוצאות!O119+הוצאות!O137+הוצאות!O331+הוצאות!O340+הוצאות!O347+הוצאות!O349+הוצאות!O361+הוצאות!O364+הוצאות!O464+הוצאות!O473+הוצאות!#REF!+הוצאות!#REF!+הוצאות!O477</f>
        <v>#REF!</v>
      </c>
      <c r="N22" s="305" t="e">
        <f>הוצאות!P4+הוצאות!P5+הוצאות!#REF!+הוצאות!#REF!+הוצאות!P6+הוצאות!P8+הוצאות!P26+הוצאות!P29+הוצאות!P34+הוצאות!P35+הוצאות!P39+הוצאות!P45+הוצאות!P52+הוצאות!P53+הוצאות!P55+הוצאות!P72+הוצאות!P84+הוצאות!P87+הוצאות!P94+הוצאות!P99+הוצאות!P95+הוצאות!P106+הוצאות!P118+הוצאות!P119+הוצאות!P137+הוצאות!P331+הוצאות!P340+הוצאות!P347+הוצאות!P349+הוצאות!P361+הוצאות!P364+הוצאות!P464+הוצאות!P473+הוצאות!#REF!+הוצאות!#REF!+הוצאות!P477</f>
        <v>#REF!</v>
      </c>
      <c r="O22" s="316" t="e">
        <f>הוצאות!Q4+הוצאות!Q5+הוצאות!#REF!+הוצאות!#REF!+הוצאות!Q6+הוצאות!Q8+הוצאות!Q26+הוצאות!Q29+הוצאות!Q34+הוצאות!Q35+הוצאות!Q39+הוצאות!Q45+הוצאות!Q52+הוצאות!Q53+הוצאות!Q55+הוצאות!Q72+הוצאות!Q84+הוצאות!Q87+הוצאות!Q94+הוצאות!Q99+הוצאות!Q95+הוצאות!Q106+הוצאות!Q118+הוצאות!Q119+הוצאות!Q137+הוצאות!Q331+הוצאות!Q340+הוצאות!Q347+הוצאות!Q349+הוצאות!Q361+הוצאות!Q364+הוצאות!Q464+הוצאות!Q473+הוצאות!#REF!+הוצאות!#REF!+הוצאות!Q477+הוצאות!Q85+הוצאות!Q96</f>
        <v>#REF!</v>
      </c>
      <c r="P22" s="316" t="e">
        <f>הוצאות!R4+הוצאות!R5+הוצאות!#REF!+הוצאות!#REF!+הוצאות!R6+הוצאות!R8+הוצאות!R26+הוצאות!R29+הוצאות!R34+הוצאות!R35+הוצאות!R39+הוצאות!R45+הוצאות!R52+הוצאות!R53+הוצאות!R55+הוצאות!R72+הוצאות!R84+הוצאות!R87+הוצאות!R94+הוצאות!R99+הוצאות!R95+הוצאות!R106+הוצאות!R118+הוצאות!R119+הוצאות!R137+הוצאות!R331+הוצאות!R340+הוצאות!R347+הוצאות!R349+הוצאות!R361+הוצאות!R364+הוצאות!R464+הוצאות!R473+הוצאות!#REF!+הוצאות!#REF!+הוצאות!R477+הוצאות!R85+הוצאות!R96</f>
        <v>#REF!</v>
      </c>
      <c r="Q22" s="316" t="e">
        <f>הוצאות!S4+הוצאות!S5+הוצאות!#REF!+הוצאות!#REF!+הוצאות!S6+הוצאות!S8+הוצאות!S26+הוצאות!S29+הוצאות!S34+הוצאות!S35+הוצאות!S39+הוצאות!S45+הוצאות!S52+הוצאות!S53+הוצאות!S55+הוצאות!S72+הוצאות!S84+הוצאות!S87+הוצאות!S94+הוצאות!S99+הוצאות!S95+הוצאות!S106+הוצאות!S118+הוצאות!S119+הוצאות!S137+הוצאות!S331+הוצאות!S340+הוצאות!S347+הוצאות!S349+הוצאות!S361+הוצאות!S364+הוצאות!S464+הוצאות!S473+הוצאות!#REF!+הוצאות!#REF!+הוצאות!S477+הוצאות!S85+הוצאות!S96</f>
        <v>#REF!</v>
      </c>
      <c r="R22" s="307" t="e">
        <f>הוצאות!T4+הוצאות!T5+הוצאות!#REF!+הוצאות!#REF!+הוצאות!T6+הוצאות!T8+הוצאות!T26+הוצאות!T29+הוצאות!T34+הוצאות!T35+הוצאות!T39+הוצאות!T45+הוצאות!T52+הוצאות!T53+הוצאות!T55+הוצאות!T72+הוצאות!T84+הוצאות!T87+הוצאות!T94+הוצאות!T99+הוצאות!T95+הוצאות!T106+הוצאות!T118+הוצאות!T119+הוצאות!T137+הוצאות!T331+הוצאות!T340+הוצאות!T347+הוצאות!T349+הוצאות!T361+הוצאות!T364+הוצאות!T464+הוצאות!T473+הוצאות!#REF!+הוצאות!#REF!+הוצאות!T477+הוצאות!T85+הוצאות!T96+הוצאות!T54+הוצאות!T142+הוצאות!T141+הוצאות!T140</f>
        <v>#REF!</v>
      </c>
      <c r="S22" s="307" t="e">
        <f>הוצאות!U4+הוצאות!U5+הוצאות!#REF!+הוצאות!#REF!+הוצאות!U6+הוצאות!U8+הוצאות!U26+הוצאות!U29+הוצאות!U34+הוצאות!U35+הוצאות!U39+הוצאות!U45+הוצאות!U52+הוצאות!U53+הוצאות!U55+הוצאות!U72+הוצאות!U84+הוצאות!U87+הוצאות!U94+הוצאות!U99+הוצאות!U95+הוצאות!U106+הוצאות!U118+הוצאות!U119+הוצאות!U137+הוצאות!U331+הוצאות!U340+הוצאות!U347+הוצאות!U349+הוצאות!U361+הוצאות!U364+הוצאות!U464+הוצאות!U473+הוצאות!#REF!+הוצאות!#REF!+הוצאות!U477+הוצאות!U85+הוצאות!U96+הוצאות!U54+הוצאות!U142+הוצאות!U141+הוצאות!U140</f>
        <v>#REF!</v>
      </c>
      <c r="T22" s="307" t="e">
        <f>הוצאות!V4+הוצאות!V5+הוצאות!#REF!+הוצאות!#REF!+הוצאות!V6+הוצאות!V8+הוצאות!V26+הוצאות!V29+הוצאות!V34+הוצאות!V35+הוצאות!V39+הוצאות!V45+הוצאות!V52+הוצאות!V53+הוצאות!V55+הוצאות!V72+הוצאות!V84+הוצאות!V87+הוצאות!V94+הוצאות!V99+הוצאות!V95+הוצאות!V106+הוצאות!V118+הוצאות!V119+הוצאות!V137+הוצאות!V331+הוצאות!V340+הוצאות!V347+הוצאות!V349+הוצאות!V361+הוצאות!V364+הוצאות!V464+הוצאות!V473+הוצאות!#REF!+הוצאות!#REF!+הוצאות!V477+הוצאות!V85+הוצאות!V96+הוצאות!V54+הוצאות!V142+הוצאות!V141+הוצאות!V140</f>
        <v>#REF!</v>
      </c>
      <c r="U22" s="307" t="e">
        <f>הוצאות!W4+הוצאות!W5+הוצאות!#REF!+הוצאות!#REF!+הוצאות!W6+הוצאות!W8+הוצאות!W26+הוצאות!W29+הוצאות!W34+הוצאות!W35+הוצאות!W39+הוצאות!W45+הוצאות!W52+הוצאות!W53+הוצאות!W55+הוצאות!W72+הוצאות!W84+הוצאות!W87+הוצאות!W94+הוצאות!W99+הוצאות!W95+הוצאות!W106+הוצאות!W118+הוצאות!W119+הוצאות!W137+הוצאות!W331+הוצאות!W340+הוצאות!W347+הוצאות!W349+הוצאות!W361+הוצאות!W364+הוצאות!W464+הוצאות!W473+הוצאות!#REF!+הוצאות!#REF!+הוצאות!W477+הוצאות!W85+הוצאות!W96+הוצאות!W54+הוצאות!W142+הוצאות!W140+הוצאות!W90+הוצאות!W133</f>
        <v>#REF!</v>
      </c>
      <c r="V22" s="307" t="e">
        <f>הוצאות!X4+הוצאות!X5+הוצאות!#REF!+הוצאות!#REF!+הוצאות!X6+הוצאות!X8+הוצאות!X26+הוצאות!X29+הוצאות!X34+הוצאות!X35+הוצאות!X39+הוצאות!X45+הוצאות!X52+הוצאות!X53+הוצאות!X55+הוצאות!X72+הוצאות!X84+הוצאות!X87+הוצאות!X94+הוצאות!X99+הוצאות!X95+הוצאות!X106+הוצאות!X118+הוצאות!X119+הוצאות!X137+הוצאות!X331+הוצאות!X340+הוצאות!X347+הוצאות!X349+הוצאות!X361+הוצאות!X364+הוצאות!X464+הוצאות!X473+הוצאות!#REF!+הוצאות!#REF!+הוצאות!X477+הוצאות!X85+הוצאות!X96+הוצאות!X54+הוצאות!X142+הוצאות!X140+הוצאות!X90+הוצאות!X133</f>
        <v>#REF!</v>
      </c>
      <c r="W22" s="307" t="e">
        <f>הוצאות!Y4+הוצאות!Y5+הוצאות!#REF!+הוצאות!#REF!+הוצאות!Y6+הוצאות!Y8+הוצאות!Y26+הוצאות!Y29+הוצאות!Y34+הוצאות!Y35+הוצאות!Y39+הוצאות!Y45+הוצאות!Y52+הוצאות!Y53+הוצאות!Y55+הוצאות!Y72+הוצאות!Y84+הוצאות!Y87+הוצאות!Y94+הוצאות!Y99+הוצאות!Y95+הוצאות!Y106+הוצאות!Y118+הוצאות!Y119+הוצאות!Y137+הוצאות!Y331+הוצאות!Y340+הוצאות!Y347+הוצאות!Y349+הוצאות!Y361+הוצאות!Y364+הוצאות!Y464+הוצאות!Y473+הוצאות!#REF!+הוצאות!#REF!+הוצאות!Y477+הוצאות!Y85+הוצאות!Y96+הוצאות!Y54+הוצאות!Y142+הוצאות!Y140+הוצאות!Y90+הוצאות!Y133</f>
        <v>#REF!</v>
      </c>
      <c r="X22" s="307">
        <f>הוצאות!Z4+הוצאות!Z5+הוצאות!Z6+הוצאות!Z8+הוצאות!Z26+הוצאות!Z29+הוצאות!Z34+הוצאות!Z35+הוצאות!Z39+הוצאות!Z45+הוצאות!Z52+הוצאות!Z53+הוצאות!Z55+הוצאות!Z72+הוצאות!Z84+הוצאות!Z87+הוצאות!Z94+הוצאות!Z99+הוצאות!Z95+הוצאות!Z106+הוצאות!Z118+הוצאות!Z119+הוצאות!Z137+הוצאות!Z331+הוצאות!Z340+הוצאות!Z347+הוצאות!Z349+הוצאות!Z361+הוצאות!Z364+הוצאות!Z464+הוצאות!Z473+הוצאות!Z477+הוצאות!Z85+הוצאות!Z96+הוצאות!Z54+הוצאות!Z142+הוצאות!Z140+הוצאות!Z90+הוצאות!Z133</f>
        <v>23000800</v>
      </c>
      <c r="Y22" s="307">
        <f>הוצאות!AA4+הוצאות!AA5+הוצאות!AA6+הוצאות!AA8+הוצאות!AA26+הוצאות!AA29+הוצאות!AA34+הוצאות!AA35+הוצאות!AA39+הוצאות!AA45+הוצאות!AA52+הוצאות!AA53+הוצאות!AA55+הוצאות!AA72+הוצאות!AA84+הוצאות!AA87+הוצאות!AA94+הוצאות!AA99+הוצאות!AA95+הוצאות!AA106+הוצאות!AA118+הוצאות!AA119+הוצאות!AA137+הוצאות!AA331+הוצאות!AA340+הוצאות!AA347+הוצאות!AA349+הוצאות!AA361+הוצאות!AA364+הוצאות!AA464+הוצאות!AA473+הוצאות!AA477+הוצאות!AA85+הוצאות!AA96+הוצאות!AA54+הוצאות!AA142+הוצאות!AA140+הוצאות!AA90+הוצאות!AA133</f>
        <v>23424600</v>
      </c>
      <c r="Z22" s="307">
        <f>הוצאות!AB4+הוצאות!AB5+הוצאות!AB6+הוצאות!AB8+הוצאות!AB26+הוצאות!AB29+הוצאות!AB34+הוצאות!AB35+הוצאות!AB39+הוצאות!AB45+הוצאות!AB52+הוצאות!AB53+הוצאות!AB55+הוצאות!AB72+הוצאות!AB84+הוצאות!AB87+הוצאות!AB94+הוצאות!AB99+הוצאות!AB95+הוצאות!AB106+הוצאות!AB118+הוצאות!AB119+הוצאות!AB137+הוצאות!AB331+הוצאות!AB340+הוצאות!AB347+הוצאות!AB349+הוצאות!AB361+הוצאות!AB364+הוצאות!AB464+הוצאות!AB473+הוצאות!AB477+הוצאות!AB85+הוצאות!AB96+הוצאות!AB54+הוצאות!AB142+הוצאות!AB140+הוצאות!AB90+הוצאות!AB133</f>
        <v>24113000</v>
      </c>
      <c r="AA22" s="307">
        <f>הוצאות!AC4+הוצאות!AC5+הוצאות!AC6+הוצאות!AC8+הוצאות!AC26+הוצאות!AC29+הוצאות!AC34+הוצאות!AC35+הוצאות!AC39+הוצאות!AC45+הוצאות!AC52+הוצאות!AC53+הוצאות!AC55+הוצאות!AC72+הוצאות!AC84+הוצאות!AC87+הוצאות!AC94+הוצאות!AC99+הוצאות!AC95+הוצאות!AC106+הוצאות!AC118+הוצאות!AC119+הוצאות!AC137+הוצאות!AC331+הוצאות!AC340+הוצאות!AC347+הוצאות!AC349+הוצאות!AC361+הוצאות!AC364+הוצאות!AC464+הוצאות!AC473+הוצאות!AC477+הוצאות!AC85+הוצאות!AC96+הוצאות!AC54+הוצאות!AC142+הוצאות!AC140+הוצאות!AC90+הוצאות!AC133</f>
        <v>141.66999999999999</v>
      </c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</row>
    <row r="23" spans="2:50" ht="23.1" customHeight="1" x14ac:dyDescent="0.3">
      <c r="B23" s="304" t="s">
        <v>358</v>
      </c>
      <c r="C23" s="305" t="e">
        <f>הוצאות!#REF!+הוצאות!C474+הוצאות!C470+הוצאות!C463+הוצאות!C370+הוצאות!C360+הוצאות!C145+הוצאות!C62+הוצאות!C44-'ריכוז תקציב'!C22-C24-C32+הוצאות!C95+הוצאות!C97</f>
        <v>#REF!</v>
      </c>
      <c r="D23" s="305" t="e">
        <f>הוצאות!#REF!+הוצאות!D474+הוצאות!D470+הוצאות!D463+הוצאות!D370+הוצאות!D360+הוצאות!D145+הוצאות!D62+הוצאות!D44-'ריכוז תקציב'!D22-D24-D32+הוצאות!D95+הוצאות!D97</f>
        <v>#REF!</v>
      </c>
      <c r="E23" s="305" t="e">
        <f>הוצאות!#REF!+הוצאות!E474+הוצאות!E470+הוצאות!E463+הוצאות!E370+הוצאות!E360+הוצאות!E145+הוצאות!E62+הוצאות!E44-'ריכוז תקציב'!E22-E24-E32+הוצאות!E95+הוצאות!E97+הוצאות!E478+הוצאות!#REF!</f>
        <v>#REF!</v>
      </c>
      <c r="F23" s="305" t="e">
        <f>הוצאות!#REF!+הוצאות!F474+הוצאות!F470+הוצאות!F463+הוצאות!F370+הוצאות!F360+הוצאות!F145+הוצאות!F62+הוצאות!F44-'ריכוז תקציב'!F22-F24</f>
        <v>#REF!</v>
      </c>
      <c r="G23" s="305" t="e">
        <f>הוצאות!G485-'ריכוז תקציב'!G22-'ריכוז תקציב'!G24-'ריכוז תקציב'!G25-'ריכוז תקציב'!G26-G27-G28-G29-G30-G31-G32-G33</f>
        <v>#REF!</v>
      </c>
      <c r="H23" s="305" t="e">
        <f>הוצאות!H485-'ריכוז תקציב'!H22-'ריכוז תקציב'!H24-'ריכוז תקציב'!H25-'ריכוז תקציב'!H26-H27-H28-H29-H30-H31-H32-H33</f>
        <v>#REF!</v>
      </c>
      <c r="I23" s="305" t="e">
        <f>הוצאות!I485-'ריכוז תקציב'!I22-'ריכוז תקציב'!I24-'ריכוז תקציב'!I25-'ריכוז תקציב'!I26-I27-I28-I29-I30-I31-I32-I33</f>
        <v>#REF!</v>
      </c>
      <c r="J23" s="305" t="e">
        <f>הוצאות!J485-'ריכוז תקציב'!J22-'ריכוז תקציב'!J24-'ריכוז תקציב'!J25-'ריכוז תקציב'!J26-J27-J28-J29-J30-J31-J32-J33</f>
        <v>#REF!</v>
      </c>
      <c r="K23" s="305" t="e">
        <f>הוצאות!K485-'ריכוז תקציב'!K22-'ריכוז תקציב'!K24-'ריכוז תקציב'!K25-'ריכוז תקציב'!K26-K27-K28-K29-K30-K31-K32-K33</f>
        <v>#REF!</v>
      </c>
      <c r="L23" s="305" t="e">
        <f>הוצאות!N485-'ריכוז תקציב'!L22-'ריכוז תקציב'!L24-'ריכוז תקציב'!L25-'ריכוז תקציב'!L26-L27-L28-L29-L30-L31-L32-L33</f>
        <v>#REF!</v>
      </c>
      <c r="M23" s="305" t="e">
        <f>הוצאות!O485-'ריכוז תקציב'!M22-'ריכוז תקציב'!M24-'ריכוז תקציב'!M25-'ריכוז תקציב'!M26-M27-M28-M29-M30-M31-M32-M33</f>
        <v>#REF!</v>
      </c>
      <c r="N23" s="305" t="e">
        <f>הוצאות!P485-'ריכוז תקציב'!N22-'ריכוז תקציב'!N24-'ריכוז תקציב'!N25-'ריכוז תקציב'!N26-N27-N28-N29-N30-N31-N32-N33</f>
        <v>#REF!</v>
      </c>
      <c r="O23" s="316" t="e">
        <f>הוצאות!Q485-'ריכוז תקציב'!O22-'ריכוז תקציב'!O24-'ריכוז תקציב'!O25-'ריכוז תקציב'!O26-O27-O28-O29-O30-O31-O32-O33-#REF!</f>
        <v>#REF!</v>
      </c>
      <c r="P23" s="316" t="e">
        <f>הוצאות!R485-'ריכוז תקציב'!P22-'ריכוז תקציב'!P24-'ריכוז תקציב'!P25-'ריכוז תקציב'!P26-P27-P28-P29-P30-P31-P32-P33-#REF!</f>
        <v>#REF!</v>
      </c>
      <c r="Q23" s="316" t="e">
        <f>הוצאות!S485-'ריכוז תקציב'!Q22-'ריכוז תקציב'!Q24-'ריכוז תקציב'!Q25-'ריכוז תקציב'!Q26-Q27-Q28-Q29-Q30-Q31-Q32-Q33-#REF!</f>
        <v>#REF!</v>
      </c>
      <c r="R23" s="307" t="e">
        <f>הוצאות!T485-'ריכוז תקציב'!R22-'ריכוז תקציב'!R24-'ריכוז תקציב'!R25-'ריכוז תקציב'!R26-R27-R28-R29-R30-R31-R32-R33-#REF!</f>
        <v>#REF!</v>
      </c>
      <c r="S23" s="307" t="e">
        <f>הוצאות!U485-'ריכוז תקציב'!S22-'ריכוז תקציב'!S24-'ריכוז תקציב'!S25-'ריכוז תקציב'!S26-S27-S28-S29-S30-S31-S32-S33-#REF!</f>
        <v>#REF!</v>
      </c>
      <c r="T23" s="307" t="e">
        <f>הוצאות!V485-'ריכוז תקציב'!T22-'ריכוז תקציב'!T24-'ריכוז תקציב'!T25-'ריכוז תקציב'!T26-T27-T28-T29-T30-T31-T32-T33-#REF!</f>
        <v>#REF!</v>
      </c>
      <c r="U23" s="307" t="e">
        <f>הוצאות!W485-'ריכוז תקציב'!U22-'ריכוז תקציב'!U24-'ריכוז תקציב'!U25-'ריכוז תקציב'!U26-U27-U28-U29-U30-U31-U32-U33</f>
        <v>#REF!</v>
      </c>
      <c r="V23" s="307" t="e">
        <f>הוצאות!X485-'ריכוז תקציב'!V22-'ריכוז תקציב'!V24-'ריכוז תקציב'!V25-'ריכוז תקציב'!V26-V27-V28-V29-V30-V31-V32-V33</f>
        <v>#REF!</v>
      </c>
      <c r="W23" s="307" t="e">
        <f>הוצאות!Y485-'ריכוז תקציב'!W22-'ריכוז תקציב'!W24-'ריכוז תקציב'!W25-'ריכוז תקציב'!W26-W27-W28-W29-W30-W31-W32-W33</f>
        <v>#REF!</v>
      </c>
      <c r="X23" s="307">
        <f>הוצאות!Z485-'ריכוז תקציב'!X22-'ריכוז תקציב'!X24-'ריכוז תקציב'!X25-'ריכוז תקציב'!X26-X27-X28-X29-X30-X31-X32-X33</f>
        <v>21378500.000000007</v>
      </c>
      <c r="Y23" s="307">
        <f>הוצאות!AA485-'ריכוז תקציב'!Y22-'ריכוז תקציב'!Y24-'ריכוז תקציב'!Y25-'ריכוז תקציב'!Y26-Y27-Y28-Y29-Y30-Y31-Y32-Y33</f>
        <v>22165300</v>
      </c>
      <c r="Z23" s="307">
        <f>הוצאות!AB485-'ריכוז תקציב'!Z22-'ריכוז תקציב'!Z24-'ריכוז תקציב'!Z25-'ריכוז תקציב'!Z26-Z27-Z28-Z29-Z30-Z31-Z32-Z33</f>
        <v>22907000</v>
      </c>
      <c r="AA23" s="307">
        <f>הוצאות!AC485-'ריכוז תקציב'!AA22-'ריכוז תקציב'!AA24-'ריכוז תקציב'!AA25-'ריכוז תקציב'!AA26-AA27-AA28-AA29-AA30-AA31-AA32-AA33</f>
        <v>0</v>
      </c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</row>
    <row r="24" spans="2:50" ht="23.1" customHeight="1" x14ac:dyDescent="0.3">
      <c r="B24" s="304" t="s">
        <v>359</v>
      </c>
      <c r="C24" s="305" t="e">
        <f>הוצאות!#REF!</f>
        <v>#REF!</v>
      </c>
      <c r="D24" s="305" t="e">
        <f>הוצאות!#REF!</f>
        <v>#REF!</v>
      </c>
      <c r="E24" s="305" t="e">
        <f>הוצאות!#REF!</f>
        <v>#REF!</v>
      </c>
      <c r="F24" s="305">
        <v>0</v>
      </c>
      <c r="G24" s="305">
        <v>0</v>
      </c>
      <c r="H24" s="305">
        <v>0</v>
      </c>
      <c r="I24" s="305">
        <v>0</v>
      </c>
      <c r="J24" s="305">
        <v>0</v>
      </c>
      <c r="K24" s="305">
        <v>0</v>
      </c>
      <c r="L24" s="305">
        <v>0</v>
      </c>
      <c r="M24" s="305">
        <v>0</v>
      </c>
      <c r="N24" s="305">
        <v>0</v>
      </c>
      <c r="O24" s="316">
        <v>0</v>
      </c>
      <c r="P24" s="316">
        <v>0</v>
      </c>
      <c r="Q24" s="316">
        <v>0</v>
      </c>
      <c r="R24" s="307">
        <v>0</v>
      </c>
      <c r="S24" s="307"/>
      <c r="T24" s="307"/>
      <c r="U24" s="307"/>
      <c r="V24" s="307"/>
      <c r="W24" s="307"/>
      <c r="X24" s="307"/>
      <c r="Y24" s="307"/>
      <c r="Z24" s="307"/>
      <c r="AA24" s="307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</row>
    <row r="25" spans="2:50" ht="23.1" customHeight="1" x14ac:dyDescent="0.3">
      <c r="B25" s="304" t="s">
        <v>372</v>
      </c>
      <c r="C25" s="305" t="e">
        <f>הוצאות!C146+הוצאות!C154+הוצאות!C161+הוצאות!C162+הוצאות!C163+הוצאות!C164+הוצאות!C165+הוצאות!C166+הוצאות!C167+הוצאות!C168+הוצאות!C169+הוצאות!C170+הוצאות!C183+הוצאות!C193+הוצאות!C198+הוצאות!C201+הוצאות!C204+הוצאות!C210+הוצאות!C213+הוצאות!C216+הוצאות!C219+הוצאות!C222+הוצאות!C226+הוצאות!C231+הוצאות!#REF!+הוצאות!C235+הוצאות!C254+הוצאות!C255+הוצאות!C256+הוצאות!C265+הוצאות!C277+הוצאות!C304+הוצאות!C309+הוצאות!C316+הוצאות!C207+הוצאות!C340</f>
        <v>#REF!</v>
      </c>
      <c r="D25" s="305" t="e">
        <f>הוצאות!D146+הוצאות!D154+הוצאות!D161+הוצאות!D162+הוצאות!D163+הוצאות!D164+הוצאות!D165+הוצאות!D166+הוצאות!D167+הוצאות!D168+הוצאות!D169+הוצאות!D170+הוצאות!D183+הוצאות!D193+הוצאות!D198+הוצאות!D201+הוצאות!D204+הוצאות!D210+הוצאות!D213+הוצאות!D216+הוצאות!D219+הוצאות!D222+הוצאות!D226+הוצאות!D231+הוצאות!#REF!+הוצאות!D235+הוצאות!D254+הוצאות!D255+הוצאות!D256+הוצאות!D265+הוצאות!D277+הוצאות!D304+הוצאות!D309+הוצאות!D316+הוצאות!D207+הוצאות!D340</f>
        <v>#REF!</v>
      </c>
      <c r="E25" s="305" t="e">
        <f>הוצאות!E146+הוצאות!E154+הוצאות!E161+הוצאות!E162+הוצאות!E163+הוצאות!E164+הוצאות!E165+הוצאות!E166+הוצאות!E167+הוצאות!E168+הוצאות!E169+הוצאות!E170+הוצאות!E183+הוצאות!E193+הוצאות!E198+הוצאות!E201+הוצאות!E204+הוצאות!E210+הוצאות!E213+הוצאות!E216+הוצאות!E219+הוצאות!E222+הוצאות!E226+הוצאות!E231+הוצאות!#REF!+הוצאות!E235+הוצאות!E254+הוצאות!E255+הוצאות!E256+הוצאות!E265+הוצאות!E277+הוצאות!E304+הוצאות!E309+הוצאות!E316+הוצאות!E207+הוצאות!E244</f>
        <v>#REF!</v>
      </c>
      <c r="F25" s="305" t="e">
        <f>הוצאות!F146+הוצאות!F154+הוצאות!F161+הוצאות!F162+הוצאות!F163+הוצאות!F164+הוצאות!F165+הוצאות!F166+הוצאות!F167+הוצאות!F168+הוצאות!F169+הוצאות!F170+הוצאות!F183+הוצאות!F193+הוצאות!F198+הוצאות!F201+הוצאות!F204+הוצאות!F210+הוצאות!F213+הוצאות!F216+הוצאות!F219+הוצאות!F222+הוצאות!F226+הוצאות!F231+הוצאות!#REF!+הוצאות!F235+הוצאות!F254+הוצאות!F255+הוצאות!F256+הוצאות!F265+הוצאות!F277+הוצאות!F304+הוצאות!F309+הוצאות!F316+הוצאות!F207+הוצאות!F244</f>
        <v>#REF!</v>
      </c>
      <c r="G25" s="305">
        <f>הוצאות!G146+הוצאות!G154+הוצאות!G161+הוצאות!G162+הוצאות!G163+הוצאות!G164+הוצאות!G165+הוצאות!G166+הוצאות!G167+הוצאות!G168+הוצאות!G169+הוצאות!G170+הוצאות!G183+הוצאות!G193+הוצאות!G198+הוצאות!G201+הוצאות!G204+הוצאות!G207+הוצאות!G210+הוצאות!G213+הוצאות!G216+הוצאות!G219+הוצאות!G222+הוצאות!G226+הוצאות!G230+הוצאות!G231+הוצאות!G235+הוצאות!G254+הוצאות!G255+הוצאות!G256+הוצאות!G265+הוצאות!G277+הוצאות!G285+הוצאות!G304+הוצאות!G309+הוצאות!G316+הוצאות!G319</f>
        <v>38789688</v>
      </c>
      <c r="H25" s="305">
        <f>הוצאות!H146+הוצאות!H154+הוצאות!H161+הוצאות!H162+הוצאות!H163+הוצאות!H164+הוצאות!H165+הוצאות!H166+הוצאות!H167+הוצאות!H168+הוצאות!H169+הוצאות!H170+הוצאות!H183+הוצאות!H193+הוצאות!H198+הוצאות!H201+הוצאות!H204+הוצאות!H207+הוצאות!H210+הוצאות!H213+הוצאות!H216+הוצאות!H219+הוצאות!H222+הוצאות!H226+הוצאות!H230+הוצאות!H231+הוצאות!H235+הוצאות!H254+הוצאות!H255+הוצאות!H256+הוצאות!H265+הוצאות!H277+הוצאות!H285+הוצאות!H304+הוצאות!H309+הוצאות!H316+הוצאות!H319</f>
        <v>34018365</v>
      </c>
      <c r="I25" s="305">
        <f>הוצאות!I146+הוצאות!I154+הוצאות!I161+הוצאות!I162+הוצאות!I163+הוצאות!I164+הוצאות!I165+הוצאות!I166+הוצאות!I167+הוצאות!I168+הוצאות!I169+הוצאות!I170+הוצאות!I183+הוצאות!I193+הוצאות!I198+הוצאות!I201+הוצאות!I204+הוצאות!I207+הוצאות!I210+הוצאות!I213+הוצאות!I216+הוצאות!I219+הוצאות!I222+הוצאות!I226+הוצאות!I230+הוצאות!I231+הוצאות!I235+הוצאות!I254+הוצאות!I255+הוצאות!I256+הוצאות!I265+הוצאות!I277+הוצאות!I285+הוצאות!I304+הוצאות!I309+הוצאות!I316+הוצאות!I319</f>
        <v>30699341</v>
      </c>
      <c r="J25" s="305">
        <f>הוצאות!J146+הוצאות!J154+הוצאות!J161+הוצאות!J162+הוצאות!J163+הוצאות!J164+הוצאות!J165+הוצאות!J166+הוצאות!J167+הוצאות!J168+הוצאות!J169+הוצאות!J170+הוצאות!J183+הוצאות!J193+הוצאות!J198+הוצאות!J201+הוצאות!J204+הוצאות!J207+הוצאות!J210+הוצאות!J213+הוצאות!J216+הוצאות!J219+הוצאות!J222+הוצאות!J226+הוצאות!J230+הוצאות!J231+הוצאות!J235+הוצאות!J254+הוצאות!J255+הוצאות!J256+הוצאות!J265+הוצאות!J277+הוצאות!J285+הוצאות!J304+הוצאות!J309+הוצאות!J316+הוצאות!J319</f>
        <v>0</v>
      </c>
      <c r="K25" s="305">
        <f>הוצאות!K146+הוצאות!K154+הוצאות!K161+הוצאות!K162+הוצאות!K163+הוצאות!K164+הוצאות!K165+הוצאות!K166+הוצאות!K167+הוצאות!K168+הוצאות!K169+הוצאות!K170+הוצאות!K183+הוצאות!K193+הוצאות!K198+הוצאות!K201+הוצאות!K204+הוצאות!K207+הוצאות!K210+הוצאות!K213+הוצאות!K216+הוצאות!K219+הוצאות!K222+הוצאות!K226+הוצאות!K230+הוצאות!K231+הוצאות!K235+הוצאות!K254+הוצאות!K255+הוצאות!K256+הוצאות!K265+הוצאות!K277+הוצאות!K285+הוצאות!K304+הוצאות!K309+הוצאות!K316+הוצאות!K319</f>
        <v>40932454.666666664</v>
      </c>
      <c r="L25" s="305" t="e">
        <f>הוצאות!N146+הוצאות!N154+הוצאות!N161+הוצאות!N162+הוצאות!N163+הוצאות!N164+הוצאות!N165+הוצאות!N166+הוצאות!N167+הוצאות!N168+הוצאות!N169+הוצאות!N170+הוצאות!N183+הוצאות!N193+הוצאות!N198+הוצאות!N201+הוצאות!N204+הוצאות!N207+הוצאות!N210+הוצאות!N213+הוצאות!N216+הוצאות!N219+הוצאות!N222+הוצאות!N226+הוצאות!N230+הוצאות!N231+הוצאות!N235+הוצאות!N254+הוצאות!N255+הוצאות!N256+הוצאות!N265+הוצאות!N277+הוצאות!N285+הוצאות!N304+הוצאות!N309+הוצאות!N316+הוצאות!N319+הוצאות!#REF!+הוצאות!N233+הוצאות!N293+הוצאות!#REF!+הוצאות!N171</f>
        <v>#REF!</v>
      </c>
      <c r="M25" s="305" t="e">
        <f>הוצאות!O146+הוצאות!O154+הוצאות!O161+הוצאות!O162+הוצאות!O163+הוצאות!O164+הוצאות!O165+הוצאות!O166+הוצאות!O167+הוצאות!O168+הוצאות!O169+הוצאות!O170+הוצאות!O183+הוצאות!O193+הוצאות!O198+הוצאות!O201+הוצאות!O204+הוצאות!O207+הוצאות!O210+הוצאות!O213+הוצאות!O216+הוצאות!O219+הוצאות!O222+הוצאות!O226+הוצאות!O230+הוצאות!O231+הוצאות!O235+הוצאות!O254+הוצאות!O255+הוצאות!O256+הוצאות!O265+הוצאות!O277+הוצאות!O285+הוצאות!O304+הוצאות!O309+הוצאות!O316+הוצאות!O319+הוצאות!#REF!+הוצאות!O233+הוצאות!O293+הוצאות!#REF!+הוצאות!O171+הוצאות!O257</f>
        <v>#REF!</v>
      </c>
      <c r="N25" s="305" t="e">
        <f>הוצאות!P146+הוצאות!P154+הוצאות!P161+הוצאות!P162+הוצאות!P163+הוצאות!P164+הוצאות!P165+הוצאות!P166+הוצאות!P167+הוצאות!P168+הוצאות!P169+הוצאות!P170+הוצאות!P183+הוצאות!P193+הוצאות!P198+הוצאות!P201+הוצאות!P204+הוצאות!P207+הוצאות!P210+הוצאות!P213+הוצאות!P216+הוצאות!P219+הוצאות!P222+הוצאות!P226+הוצאות!P230+הוצאות!P231+הוצאות!P235+הוצאות!P254+הוצאות!P255+הוצאות!P256+הוצאות!P265+הוצאות!P277+הוצאות!P285+הוצאות!P304+הוצאות!P309+הוצאות!P316+הוצאות!P319+הוצאות!#REF!+הוצאות!P233+הוצאות!P293+הוצאות!#REF!+הוצאות!P171+הוצאות!P257</f>
        <v>#REF!</v>
      </c>
      <c r="O25" s="316" t="e">
        <f>הוצאות!Q146+הוצאות!Q154+הוצאות!Q161+הוצאות!Q162+הוצאות!Q163+הוצאות!Q164+הוצאות!Q165+הוצאות!Q166+הוצאות!Q167+הוצאות!Q168+הוצאות!Q169+הוצאות!Q170+הוצאות!Q183+הוצאות!Q193+הוצאות!Q198+הוצאות!Q201+הוצאות!Q204+הוצאות!Q207+הוצאות!Q210+הוצאות!Q213+הוצאות!Q216+הוצאות!Q219+הוצאות!Q222+הוצאות!Q226+הוצאות!Q230+הוצאות!Q231+הוצאות!Q235+הוצאות!Q254+הוצאות!Q255+הוצאות!Q256+הוצאות!Q265+הוצאות!Q277+הוצאות!Q285+הוצאות!Q304+הוצאות!Q309+הוצאות!Q316+הוצאות!Q319+הוצאות!#REF!+הוצאות!Q233+הוצאות!Q293+הוצאות!#REF!+הוצאות!Q171+הוצאות!Q257</f>
        <v>#REF!</v>
      </c>
      <c r="P25" s="316" t="e">
        <f>הוצאות!R146+הוצאות!R154+הוצאות!R161+הוצאות!R162+הוצאות!R163+הוצאות!R164+הוצאות!R165+הוצאות!R166+הוצאות!R167+הוצאות!R168+הוצאות!R169+הוצאות!R170+הוצאות!R183+הוצאות!R193+הוצאות!R198+הוצאות!R201+הוצאות!R204+הוצאות!R207+הוצאות!R210+הוצאות!R213+הוצאות!R216+הוצאות!R219+הוצאות!R222+הוצאות!R226+הוצאות!R230+הוצאות!R231+הוצאות!R235+הוצאות!R254+הוצאות!R255+הוצאות!R256+הוצאות!R265+הוצאות!R277+הוצאות!R285+הוצאות!R304+הוצאות!R309+הוצאות!R316+הוצאות!R319+הוצאות!#REF!+הוצאות!R233+הוצאות!R293+הוצאות!#REF!+הוצאות!R171+הוצאות!R257</f>
        <v>#REF!</v>
      </c>
      <c r="Q25" s="316" t="e">
        <f>הוצאות!S146+הוצאות!S154+הוצאות!S161+הוצאות!S162+הוצאות!S163+הוצאות!S164+הוצאות!S165+הוצאות!S166+הוצאות!S167+הוצאות!S168+הוצאות!S169+הוצאות!S170+הוצאות!S183+הוצאות!S193+הוצאות!S198+הוצאות!S201+הוצאות!S204+הוצאות!S207+הוצאות!S210+הוצאות!S213+הוצאות!S216+הוצאות!S219+הוצאות!S222+הוצאות!S226+הוצאות!S230+הוצאות!S231+הוצאות!S235+הוצאות!S254+הוצאות!S255+הוצאות!S256+הוצאות!S265+הוצאות!S277+הוצאות!S285+הוצאות!S304+הוצאות!S309+הוצאות!S316+הוצאות!S319+הוצאות!#REF!+הוצאות!S233+הוצאות!S293+הוצאות!#REF!+הוצאות!S171+הוצאות!S257</f>
        <v>#REF!</v>
      </c>
      <c r="R25" s="307" t="e">
        <f>הוצאות!T146+הוצאות!T154+הוצאות!T161+הוצאות!T162+הוצאות!T163+הוצאות!T164+הוצאות!T165+הוצאות!T166+הוצאות!T167+הוצאות!T168+הוצאות!T169+הוצאות!T170+הוצאות!T183+הוצאות!T193+הוצאות!T198+הוצאות!T201+הוצאות!T204+הוצאות!T207+הוצאות!T210+הוצאות!T213+הוצאות!T216+הוצאות!T219+הוצאות!T222+הוצאות!T226+הוצאות!T230+הוצאות!T231+הוצאות!T235+הוצאות!T254+הוצאות!T255+הוצאות!T256+הוצאות!T265+הוצאות!T277+הוצאות!T285+הוצאות!T304+הוצאות!T309+הוצאות!T316+הוצאות!T319+הוצאות!#REF!+הוצאות!T233+הוצאות!T293+הוצאות!#REF!+הוצאות!T171+הוצאות!T257+הוצאות!T229</f>
        <v>#REF!</v>
      </c>
      <c r="S25" s="307" t="e">
        <f>הוצאות!U146+הוצאות!U154+הוצאות!U161+הוצאות!U162+הוצאות!U163+הוצאות!U164+הוצאות!U165+הוצאות!U166+הוצאות!U167+הוצאות!U168+הוצאות!U169+הוצאות!U170+הוצאות!U183+הוצאות!U193+הוצאות!U198+הוצאות!U201+הוצאות!U204+הוצאות!U207+הוצאות!U210+הוצאות!U213+הוצאות!U216+הוצאות!U219+הוצאות!U222+הוצאות!U226+הוצאות!U230+הוצאות!U231+הוצאות!U235+הוצאות!U254+הוצאות!U255+הוצאות!U256+הוצאות!U265+הוצאות!U277+הוצאות!U285+הוצאות!U304+הוצאות!U309+הוצאות!U316+הוצאות!U319+הוצאות!#REF!+הוצאות!U233+הוצאות!U293+הוצאות!#REF!+הוצאות!U171+הוצאות!U257+הוצאות!U229</f>
        <v>#REF!</v>
      </c>
      <c r="T25" s="307" t="e">
        <f>הוצאות!V146+הוצאות!V154+הוצאות!V161+הוצאות!V162+הוצאות!V163+הוצאות!V164+הוצאות!V165+הוצאות!V166+הוצאות!V167+הוצאות!V168+הוצאות!V169+הוצאות!V170+הוצאות!V183+הוצאות!V193+הוצאות!V198+הוצאות!V201+הוצאות!V204+הוצאות!V207+הוצאות!V210+הוצאות!V213+הוצאות!V216+הוצאות!V219+הוצאות!V222+הוצאות!V226+הוצאות!V230+הוצאות!V231+הוצאות!V235+הוצאות!V254+הוצאות!V255+הוצאות!V256+הוצאות!V265+הוצאות!V277+הוצאות!V285+הוצאות!V304+הוצאות!V309+הוצאות!V316+הוצאות!V319+הוצאות!#REF!+הוצאות!V233+הוצאות!V293+הוצאות!#REF!+הוצאות!V171+הוצאות!V257+הוצאות!V229</f>
        <v>#REF!</v>
      </c>
      <c r="U25" s="307" t="e">
        <f>הוצאות!W146+הוצאות!W154+הוצאות!W161+הוצאות!W162+הוצאות!W163+הוצאות!W164+הוצאות!W165+הוצאות!W166+הוצאות!W167+הוצאות!W168+הוצאות!W169+הוצאות!W170+הוצאות!W183+הוצאות!W193+הוצאות!W198+הוצאות!W201+הוצאות!W204+הוצאות!W207+הוצאות!W210+הוצאות!W213+הוצאות!W216+הוצאות!W219+הוצאות!W222+הוצאות!W226+הוצאות!W230+הוצאות!W231+הוצאות!W235+הוצאות!W254+הוצאות!W255+הוצאות!W256+הוצאות!W265+הוצאות!W277+הוצאות!W285+הוצאות!W304+הוצאות!W309+הוצאות!W316+הוצאות!W319+הוצאות!#REF!+הוצאות!W233+הוצאות!W293+הוצאות!#REF!+הוצאות!W171+הוצאות!W257+הוצאות!W229+הוצאות!W182+הוצאות!W194+הוצאות!W323</f>
        <v>#REF!</v>
      </c>
      <c r="V25" s="307" t="e">
        <f>הוצאות!X146+הוצאות!X154+הוצאות!X161+הוצאות!X162+הוצאות!X163+הוצאות!X164+הוצאות!X165+הוצאות!X166+הוצאות!X167+הוצאות!X168+הוצאות!X169+הוצאות!X170+הוצאות!X183+הוצאות!X193+הוצאות!X198+הוצאות!X201+הוצאות!X204+הוצאות!X207+הוצאות!X210+הוצאות!X213+הוצאות!X216+הוצאות!X219+הוצאות!X222+הוצאות!X226+הוצאות!X230+הוצאות!X231+הוצאות!X235+הוצאות!X254+הוצאות!X255+הוצאות!X256+הוצאות!X265+הוצאות!X277+הוצאות!X285+הוצאות!X304+הוצאות!X309+הוצאות!X316+הוצאות!X319+הוצאות!#REF!+הוצאות!X233+הוצאות!X293+הוצאות!#REF!+הוצאות!X171+הוצאות!X257+הוצאות!X229+הוצאות!X182+הוצאות!X194+הוצאות!X323</f>
        <v>#REF!</v>
      </c>
      <c r="W25" s="307" t="e">
        <f>הוצאות!Y146+הוצאות!Y154+הוצאות!Y161+הוצאות!Y162+הוצאות!Y163+הוצאות!Y164+הוצאות!Y165+הוצאות!Y166+הוצאות!Y167+הוצאות!Y168+הוצאות!Y169+הוצאות!Y170+הוצאות!Y183+הוצאות!Y193+הוצאות!Y198+הוצאות!Y201+הוצאות!Y204+הוצאות!Y207+הוצאות!Y210+הוצאות!Y213+הוצאות!Y216+הוצאות!Y219+הוצאות!Y222+הוצאות!Y226+הוצאות!Y230+הוצאות!Y231+הוצאות!Y235+הוצאות!Y254+הוצאות!Y255+הוצאות!Y256+הוצאות!Y265+הוצאות!Y277+הוצאות!Y285+הוצאות!Y304+הוצאות!Y309+הוצאות!Y316+הוצאות!Y319+הוצאות!#REF!+הוצאות!Y233+הוצאות!Y293+הוצאות!#REF!+הוצאות!Y171+הוצאות!Y257+הוצאות!Y229+הוצאות!Y182+הוצאות!Y194+הוצאות!Y323</f>
        <v>#REF!</v>
      </c>
      <c r="X25" s="307">
        <f>הוצאות!Z146+הוצאות!Z154+הוצאות!Z161+הוצאות!Z162+הוצאות!Z163+הוצאות!Z164+הוצאות!Z165+הוצאות!Z166+הוצאות!Z167+הוצאות!Z168+הוצאות!Z169+הוצאות!Z170+הוצאות!Z183+הוצאות!Z193+הוצאות!Z198+הוצאות!Z201+הוצאות!Z204+הוצאות!Z207+הוצאות!Z210+הוצאות!Z213+הוצאות!Z216+הוצאות!Z219+הוצאות!Z222+הוצאות!Z226+הוצאות!Z230+הוצאות!Z231+הוצאות!Z235+הוצאות!Z254+הוצאות!Z255+הוצאות!Z256+הוצאות!Z265+הוצאות!Z277+הוצאות!Z285+הוצאות!Z304+הוצאות!Z309+הוצאות!Z316+הוצאות!Z319+הוצאות!Z233+הוצאות!Z293+הוצאות!Z171+הוצאות!Z257+הוצאות!Z229+הוצאות!Z182+הוצאות!Z194+הוצאות!Z323+הוצאות!Z317</f>
        <v>59373200</v>
      </c>
      <c r="Y25" s="307">
        <f>הוצאות!AA146+הוצאות!AA154+הוצאות!AA161+הוצאות!AA162+הוצאות!AA163+הוצאות!AA164+הוצאות!AA165+הוצאות!AA166+הוצאות!AA167+הוצאות!AA168+הוצאות!AA169+הוצאות!AA170+הוצאות!AA183+הוצאות!AA193+הוצאות!AA198+הוצאות!AA201+הוצאות!AA204+הוצאות!AA207+הוצאות!AA210+הוצאות!AA213+הוצאות!AA216+הוצאות!AA219+הוצאות!AA222+הוצאות!AA226+הוצאות!AA230+הוצאות!AA231+הוצאות!AA235+הוצאות!AA254+הוצאות!AA255+הוצאות!AA256+הוצאות!AA265+הוצאות!AA277+הוצאות!AA285+הוצאות!AA304+הוצאות!AA309+הוצאות!AA316+הוצאות!AA319+הוצאות!AA233+הוצאות!AA293+הוצאות!AA171+הוצאות!AA257+הוצאות!AA229+הוצאות!AA182+הוצאות!AA194+הוצאות!AA323+הוצאות!AA317</f>
        <v>63934000</v>
      </c>
      <c r="Z25" s="307">
        <f>הוצאות!AB146+הוצאות!AB154+הוצאות!AB161+הוצאות!AB162+הוצאות!AB163+הוצאות!AB164+הוצאות!AB165+הוצאות!AB166+הוצאות!AB167+הוצאות!AB168+הוצאות!AB169+הוצאות!AB170+הוצאות!AB183+הוצאות!AB193+הוצאות!AB198+הוצאות!AB201+הוצאות!AB204+הוצאות!AB207+הוצאות!AB210+הוצאות!AB213+הוצאות!AB216+הוצאות!AB219+הוצאות!AB222+הוצאות!AB226+הוצאות!AB230+הוצאות!AB231+הוצאות!AB235+הוצאות!AB254+הוצאות!AB255+הוצאות!AB256+הוצאות!AB265+הוצאות!AB277+הוצאות!AB285+הוצאות!AB304+הוצאות!AB309+הוצאות!AB316+הוצאות!AB319+הוצאות!AB233+הוצאות!AB293+הוצאות!AB171+הוצאות!AB257+הוצאות!AB229+הוצאות!AB182+הוצאות!AB194+הוצאות!AB323+הוצאות!AB317</f>
        <v>70761000</v>
      </c>
      <c r="AA25" s="307">
        <f>הוצאות!AC146+הוצאות!AC154+הוצאות!AC161+הוצאות!AC162+הוצאות!AC163+הוצאות!AC164+הוצאות!AC165+הוצאות!AC166+הוצאות!AC167+הוצאות!AC168+הוצאות!AC169+הוצאות!AC170+הוצאות!AC183+הוצאות!AC193+הוצאות!AC198+הוצאות!AC201+הוצאות!AC204+הוצאות!AC207+הוצאות!AC210+הוצאות!AC213+הוצאות!AC216+הוצאות!AC219+הוצאות!AC222+הוצאות!AC226+הוצאות!AC230+הוצאות!AC231+הוצאות!AC235+הוצאות!AC254+הוצאות!AC255+הוצאות!AC256+הוצאות!AC265+הוצאות!AC277+הוצאות!AC285+הוצאות!AC304+הוצאות!AC309+הוצאות!AC316+הוצאות!AC319+הוצאות!AC233+הוצאות!AC293+הוצאות!AC171+הוצאות!AC257+הוצאות!AC229+הוצאות!AC182+הוצאות!AC194+הוצאות!AC323+הוצאות!AC317</f>
        <v>467.13</v>
      </c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</row>
    <row r="26" spans="2:50" ht="23.1" customHeight="1" x14ac:dyDescent="0.3">
      <c r="B26" s="304" t="s">
        <v>373</v>
      </c>
      <c r="C26" s="305" t="e">
        <f>הוצאות!C327-'ריכוז תקציב'!C25</f>
        <v>#REF!</v>
      </c>
      <c r="D26" s="305" t="e">
        <f>הוצאות!D327-'ריכוז תקציב'!D25</f>
        <v>#REF!</v>
      </c>
      <c r="E26" s="305" t="e">
        <f>הוצאות!E327-'ריכוז תקציב'!E25</f>
        <v>#REF!</v>
      </c>
      <c r="F26" s="305" t="e">
        <f>הוצאות!F327-'ריכוז תקציב'!F25</f>
        <v>#REF!</v>
      </c>
      <c r="G26" s="305">
        <f>הוצאות!G327-'ריכוז תקציב'!G25</f>
        <v>8789620</v>
      </c>
      <c r="H26" s="305">
        <f>הוצאות!H327-'ריכוז תקציב'!H25</f>
        <v>49669591</v>
      </c>
      <c r="I26" s="305">
        <f>הוצאות!I327-'ריכוז תקציב'!I25</f>
        <v>6262260</v>
      </c>
      <c r="J26" s="305">
        <f>הוצאות!J327-'ריכוז תקציב'!J25</f>
        <v>0</v>
      </c>
      <c r="K26" s="305">
        <f>הוצאות!K327-'ריכוז תקציב'!K25</f>
        <v>8349680.0000000075</v>
      </c>
      <c r="L26" s="305" t="e">
        <f>הוצאות!N327-'ריכוז תקציב'!L25</f>
        <v>#REF!</v>
      </c>
      <c r="M26" s="305" t="e">
        <f>הוצאות!O327-'ריכוז תקציב'!M25</f>
        <v>#REF!</v>
      </c>
      <c r="N26" s="305" t="e">
        <f>הוצאות!P327-'ריכוז תקציב'!N25</f>
        <v>#REF!</v>
      </c>
      <c r="O26" s="316" t="e">
        <f>הוצאות!Q327-'ריכוז תקציב'!O25</f>
        <v>#REF!</v>
      </c>
      <c r="P26" s="316" t="e">
        <f>הוצאות!R327-'ריכוז תקציב'!P25</f>
        <v>#REF!</v>
      </c>
      <c r="Q26" s="316" t="e">
        <f>הוצאות!S327-'ריכוז תקציב'!Q25</f>
        <v>#REF!</v>
      </c>
      <c r="R26" s="307" t="e">
        <f>הוצאות!T327-'ריכוז תקציב'!R25</f>
        <v>#REF!</v>
      </c>
      <c r="S26" s="307" t="e">
        <f>הוצאות!U327-'ריכוז תקציב'!S25</f>
        <v>#REF!</v>
      </c>
      <c r="T26" s="307" t="e">
        <f>הוצאות!V327-'ריכוז תקציב'!T25</f>
        <v>#REF!</v>
      </c>
      <c r="U26" s="307" t="e">
        <f>הוצאות!W327-'ריכוז תקציב'!U25</f>
        <v>#REF!</v>
      </c>
      <c r="V26" s="307" t="e">
        <f>הוצאות!X327-'ריכוז תקציב'!V25</f>
        <v>#REF!</v>
      </c>
      <c r="W26" s="307" t="e">
        <f>הוצאות!Y327-'ריכוז תקציב'!W25</f>
        <v>#REF!</v>
      </c>
      <c r="X26" s="307">
        <f>הוצאות!Z327-'ריכוז תקציב'!X25</f>
        <v>17485800</v>
      </c>
      <c r="Y26" s="307">
        <f>הוצאות!AA327-'ריכוז תקציב'!Y25</f>
        <v>17416500</v>
      </c>
      <c r="Z26" s="307">
        <f>הוצאות!AB327-'ריכוז תקציב'!Z25</f>
        <v>16717000</v>
      </c>
      <c r="AA26" s="307"/>
      <c r="AB26" s="291"/>
      <c r="AC26" s="291"/>
      <c r="AD26" s="291"/>
      <c r="AE26" s="317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</row>
    <row r="27" spans="2:50" ht="23.1" customHeight="1" x14ac:dyDescent="0.3">
      <c r="B27" s="304" t="s">
        <v>360</v>
      </c>
      <c r="C27" s="305" t="e">
        <f>הוצאות!C371+הוצאות!C386+הוצאות!C394+הוצאות!#REF!+הוצאות!C415+הוצאות!C443+הוצאות!C449</f>
        <v>#REF!</v>
      </c>
      <c r="D27" s="305" t="e">
        <f>הוצאות!D371+הוצאות!D386+הוצאות!D394+הוצאות!#REF!+הוצאות!D415+הוצאות!D443+הוצאות!D449</f>
        <v>#REF!</v>
      </c>
      <c r="E27" s="305" t="e">
        <f>הוצאות!E371+הוצאות!E386+הוצאות!E394+הוצאות!#REF!+הוצאות!E415+הוצאות!E443+הוצאות!E449</f>
        <v>#REF!</v>
      </c>
      <c r="F27" s="305" t="e">
        <f>הוצאות!F371+הוצאות!F386+הוצאות!F394+הוצאות!#REF!+הוצאות!F415+הוצאות!F443+הוצאות!F449+הוצאות!F409</f>
        <v>#REF!</v>
      </c>
      <c r="G27" s="305" t="e">
        <f>הוצאות!G371+הוצאות!G383+הוצאות!G386+הוצאות!G394+הוצאות!#REF!+הוצאות!G415+הוצאות!G443+הוצאות!G448+הוצאות!G449</f>
        <v>#REF!</v>
      </c>
      <c r="H27" s="305" t="e">
        <f>הוצאות!H371+הוצאות!H383+הוצאות!H386+הוצאות!H394+הוצאות!#REF!+הוצאות!H415+הוצאות!H443+הוצאות!H448+הוצאות!H449</f>
        <v>#REF!</v>
      </c>
      <c r="I27" s="305" t="e">
        <f>הוצאות!I371+הוצאות!I383+הוצאות!I386+הוצאות!I394+הוצאות!#REF!+הוצאות!I415+הוצאות!I443+הוצאות!I448+הוצאות!I449</f>
        <v>#REF!</v>
      </c>
      <c r="J27" s="305" t="e">
        <f>הוצאות!J371+הוצאות!J383+הוצאות!J386+הוצאות!J394+הוצאות!#REF!+הוצאות!J415+הוצאות!J443+הוצאות!J448+הוצאות!J449</f>
        <v>#REF!</v>
      </c>
      <c r="K27" s="305" t="e">
        <f>הוצאות!K371+הוצאות!K383+הוצאות!K386+הוצאות!K394+הוצאות!#REF!+הוצאות!K415+הוצאות!K443+הוצאות!K448+הוצאות!K449</f>
        <v>#REF!</v>
      </c>
      <c r="L27" s="305" t="e">
        <f>הוצאות!N371+הוצאות!N383+הוצאות!N386+הוצאות!N394+הוצאות!#REF!+הוצאות!N415+הוצאות!N443+הוצאות!N448+הוצאות!N449</f>
        <v>#REF!</v>
      </c>
      <c r="M27" s="305" t="e">
        <f>הוצאות!O371+הוצאות!O383+הוצאות!O386+הוצאות!O394+הוצאות!#REF!+הוצאות!O415+הוצאות!O443+הוצאות!O448+הוצאות!O449</f>
        <v>#REF!</v>
      </c>
      <c r="N27" s="305" t="e">
        <f>הוצאות!P371+הוצאות!P383+הוצאות!P386+הוצאות!P394+הוצאות!#REF!+הוצאות!P415+הוצאות!P443+הוצאות!P448+הוצאות!P449</f>
        <v>#REF!</v>
      </c>
      <c r="O27" s="316" t="e">
        <f>הוצאות!Q371+הוצאות!Q383+הוצאות!Q386+הוצאות!Q394+הוצאות!#REF!+הוצאות!Q415+הוצאות!Q443+הוצאות!Q448+הוצאות!Q449</f>
        <v>#REF!</v>
      </c>
      <c r="P27" s="316" t="e">
        <f>הוצאות!R371+הוצאות!R383+הוצאות!R386+הוצאות!R394+הוצאות!#REF!+הוצאות!R415+הוצאות!R443+הוצאות!R448+הוצאות!R449</f>
        <v>#REF!</v>
      </c>
      <c r="Q27" s="316" t="e">
        <f>הוצאות!S371+הוצאות!S383+הוצאות!S386+הוצאות!S394+הוצאות!#REF!+הוצאות!S415+הוצאות!S443+הוצאות!S448+הוצאות!S449</f>
        <v>#REF!</v>
      </c>
      <c r="R27" s="307" t="e">
        <f>הוצאות!T371+הוצאות!T383+הוצאות!T386+הוצאות!T394+הוצאות!#REF!+הוצאות!T415+הוצאות!T443+הוצאות!T448+הוצאות!T449</f>
        <v>#REF!</v>
      </c>
      <c r="S27" s="307" t="e">
        <f>הוצאות!U371+הוצאות!U383+הוצאות!U386+הוצאות!U394+הוצאות!#REF!+הוצאות!U415+הוצאות!U443+הוצאות!U448+הוצאות!U449</f>
        <v>#REF!</v>
      </c>
      <c r="T27" s="307" t="e">
        <f>הוצאות!V371+הוצאות!V383+הוצאות!V386+הוצאות!V394+הוצאות!#REF!+הוצאות!V415+הוצאות!V443+הוצאות!V448+הוצאות!V449</f>
        <v>#REF!</v>
      </c>
      <c r="U27" s="307">
        <f>הוצאות!W371+הוצאות!W383+הוצאות!W386+הוצאות!W394+הוצאות!W415+הוצאות!W443+הוצאות!W448+הוצאות!W449+הוצאות!W458</f>
        <v>8418375</v>
      </c>
      <c r="V27" s="307">
        <f>הוצאות!X371+הוצאות!X383+הוצאות!X386+הוצאות!X394+הוצאות!X415+הוצאות!X443+הוצאות!X448+הוצאות!X449+הוצאות!X458</f>
        <v>7327189</v>
      </c>
      <c r="W27" s="307">
        <f>הוצאות!Y371+הוצאות!Y383+הוצאות!Y386+הוצאות!Y394+הוצאות!Y415+הוצאות!Y443+הוצאות!Y448+הוצאות!Y449+הוצאות!Y458</f>
        <v>8780000</v>
      </c>
      <c r="X27" s="307">
        <f>הוצאות!Z371+הוצאות!Z383+הוצאות!Z386+הוצאות!Z394+הוצאות!Z415+הוצאות!Z443+הוצאות!Z448+הוצאות!Z449+הוצאות!Z458+הוצאות!Z401+הוצאות!Z406</f>
        <v>9034000</v>
      </c>
      <c r="Y27" s="307">
        <f>הוצאות!AA371+הוצאות!AA383+הוצאות!AA386+הוצאות!AA394+הוצאות!AA415+הוצאות!AA443+הוצאות!AA448+הוצאות!AA449+הוצאות!AA458+הוצאות!AA401+הוצאות!AA406</f>
        <v>10141000</v>
      </c>
      <c r="Z27" s="307">
        <f>הוצאות!AB371+הוצאות!AB383+הוצאות!AB386+הוצאות!AB394+הוצאות!AB415+הוצאות!AB443+הוצאות!AB448+הוצאות!AB449+הוצאות!AB458+הוצאות!AB401+הוצאות!AB406</f>
        <v>10513000</v>
      </c>
      <c r="AA27" s="307">
        <f>הוצאות!AC371+הוצאות!AC383+הוצאות!AC386+הוצאות!AC394+הוצאות!AC415+הוצאות!AC443+הוצאות!AC448+הוצאות!AC449+הוצאות!AC458+הוצאות!AC401+הוצאות!AC406</f>
        <v>78.259999999999991</v>
      </c>
      <c r="AB27" s="291"/>
      <c r="AC27" s="291"/>
      <c r="AD27" s="291"/>
      <c r="AE27" s="318"/>
      <c r="AF27" s="318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</row>
    <row r="28" spans="2:50" ht="23.1" customHeight="1" x14ac:dyDescent="0.3">
      <c r="B28" s="304" t="s">
        <v>361</v>
      </c>
      <c r="C28" s="305" t="e">
        <f>הוצאות!C460-הוצאות!C449-הוצאות!C443-הוצאות!C415-הוצאות!#REF!-הוצאות!C394-הוצאות!C386-הוצאות!C371</f>
        <v>#REF!</v>
      </c>
      <c r="D28" s="305" t="e">
        <f>הוצאות!D460-הוצאות!D449-הוצאות!D443-הוצאות!D415-הוצאות!#REF!-הוצאות!D394-הוצאות!D386-הוצאות!D371</f>
        <v>#REF!</v>
      </c>
      <c r="E28" s="305" t="e">
        <f>הוצאות!E460-הוצאות!E449-הוצאות!E443-הוצאות!E415-הוצאות!#REF!-הוצאות!E394-הוצאות!E386-הוצאות!E371</f>
        <v>#REF!</v>
      </c>
      <c r="F28" s="305" t="e">
        <f>הוצאות!F460-הוצאות!F449-הוצאות!F443-הוצאות!F415-הוצאות!#REF!-הוצאות!F394-הוצאות!F386-הוצאות!F371-הוצאות!F409</f>
        <v>#REF!</v>
      </c>
      <c r="G28" s="305" t="e">
        <f>הוצאות!G460-הוצאות!G449-הוצאות!G443-הוצאות!G415-הוצאות!#REF!-הוצאות!G394-הוצאות!G386-הוצאות!G371-הוצאות!G383-הוצאות!G448</f>
        <v>#REF!</v>
      </c>
      <c r="H28" s="305" t="e">
        <f>הוצאות!H460-הוצאות!H449-הוצאות!H443-הוצאות!H415-הוצאות!#REF!-הוצאות!H394-הוצאות!H386-הוצאות!H371-הוצאות!H383-הוצאות!H448</f>
        <v>#REF!</v>
      </c>
      <c r="I28" s="305" t="e">
        <f>הוצאות!I460-הוצאות!I449-הוצאות!I443-הוצאות!I415-הוצאות!#REF!-הוצאות!I394-הוצאות!I386-הוצאות!I371-הוצאות!I383-הוצאות!I448</f>
        <v>#REF!</v>
      </c>
      <c r="J28" s="305" t="e">
        <f>הוצאות!J460-הוצאות!J449-הוצאות!J443-הוצאות!J415-הוצאות!#REF!-הוצאות!J394-הוצאות!J386-הוצאות!J371-הוצאות!J383-הוצאות!J448</f>
        <v>#REF!</v>
      </c>
      <c r="K28" s="305" t="e">
        <f>הוצאות!K460-הוצאות!K449-הוצאות!K443-הוצאות!K415-הוצאות!#REF!-הוצאות!K394-הוצאות!K386-הוצאות!K371-הוצאות!K383-הוצאות!K448</f>
        <v>#REF!</v>
      </c>
      <c r="L28" s="305" t="e">
        <f>הוצאות!N460-הוצאות!N449-הוצאות!N443-הוצאות!N415-הוצאות!#REF!-הוצאות!N394-הוצאות!N386-הוצאות!N371-הוצאות!N383-הוצאות!N448</f>
        <v>#REF!</v>
      </c>
      <c r="M28" s="305" t="e">
        <f>הוצאות!O460-הוצאות!O449-הוצאות!O443-הוצאות!O415-הוצאות!#REF!-הוצאות!O394-הוצאות!O386-הוצאות!O371-הוצאות!O383-הוצאות!O448</f>
        <v>#REF!</v>
      </c>
      <c r="N28" s="305" t="e">
        <f>הוצאות!P460-הוצאות!P449-הוצאות!P443-הוצאות!P415-הוצאות!#REF!-הוצאות!P394-הוצאות!P386-הוצאות!P371-הוצאות!P383-הוצאות!P448</f>
        <v>#REF!</v>
      </c>
      <c r="O28" s="316" t="e">
        <f>הוצאות!Q460-הוצאות!Q449-הוצאות!Q443-הוצאות!Q415-הוצאות!#REF!-הוצאות!Q394-הוצאות!Q386-הוצאות!Q371-הוצאות!Q383-הוצאות!Q448</f>
        <v>#REF!</v>
      </c>
      <c r="P28" s="316" t="e">
        <f>הוצאות!R460-הוצאות!R449-הוצאות!R443-הוצאות!R415-הוצאות!#REF!-הוצאות!R394-הוצאות!R386-הוצאות!R371-הוצאות!R383-הוצאות!R448</f>
        <v>#REF!</v>
      </c>
      <c r="Q28" s="316" t="e">
        <f>הוצאות!S460-הוצאות!S449-הוצאות!S443-הוצאות!S415-הוצאות!#REF!-הוצאות!S394-הוצאות!S386-הוצאות!S371-הוצאות!S383-הוצאות!S448</f>
        <v>#REF!</v>
      </c>
      <c r="R28" s="307" t="e">
        <f>הוצאות!T460-הוצאות!T449-הוצאות!T443-הוצאות!T415-הוצאות!#REF!-הוצאות!T394-הוצאות!T386-הוצאות!T371-הוצאות!T383-הוצאות!T448</f>
        <v>#REF!</v>
      </c>
      <c r="S28" s="307" t="e">
        <f>הוצאות!U460-הוצאות!U449-הוצאות!U443-הוצאות!U415-הוצאות!#REF!-הוצאות!U394-הוצאות!U386-הוצאות!U371-הוצאות!U383-הוצאות!U448</f>
        <v>#REF!</v>
      </c>
      <c r="T28" s="307" t="e">
        <f>הוצאות!V460-הוצאות!V449-הוצאות!V443-הוצאות!V415-הוצאות!#REF!-הוצאות!V394-הוצאות!V386-הוצאות!V371-הוצאות!V383-הוצאות!V448</f>
        <v>#REF!</v>
      </c>
      <c r="U28" s="307" t="e">
        <f>הוצאות!W460-הוצאות!W449-הוצאות!W443-הוצאות!W415-הוצאות!W394-הוצאות!W386-הוצאות!W371-הוצאות!W383-הוצאות!W448-הוצאות!W458</f>
        <v>#REF!</v>
      </c>
      <c r="V28" s="307" t="e">
        <f>הוצאות!X460-הוצאות!X449-הוצאות!X443-הוצאות!X415-הוצאות!X394-הוצאות!X386-הוצאות!X371-הוצאות!X383-הוצאות!X448-הוצאות!X458</f>
        <v>#REF!</v>
      </c>
      <c r="W28" s="307" t="e">
        <f>הוצאות!Y460-הוצאות!Y449-הוצאות!Y443-הוצאות!Y415-הוצאות!Y394-הוצאות!Y386-הוצאות!Y371-הוצאות!Y383-הוצאות!Y448-הוצאות!Y458</f>
        <v>#REF!</v>
      </c>
      <c r="X28" s="307">
        <f>הוצאות!Z460-הוצאות!Z449-הוצאות!Z443-הוצאות!Z415-הוצאות!Z394-הוצאות!Z386-הוצאות!Z371-הוצאות!Z383-הוצאות!Z448-הוצאות!Z458</f>
        <v>16502800.399999999</v>
      </c>
      <c r="Y28" s="307">
        <f>הוצאות!AA460-הוצאות!AA449-הוצאות!AA443-הוצאות!AA415-הוצאות!AA394-הוצאות!AA386-הוצאות!AA371-הוצאות!AA383-הוצאות!AA448-הוצאות!AA458</f>
        <v>16076000</v>
      </c>
      <c r="Z28" s="307">
        <f>הוצאות!AB460-הוצאות!AB449-הוצאות!AB443-הוצאות!AB415-הוצאות!AB394-הוצאות!AB386-הוצאות!AB371-הוצאות!AB383-הוצאות!AB448-הוצאות!AB458</f>
        <v>16786000</v>
      </c>
      <c r="AA28" s="307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</row>
    <row r="29" spans="2:50" ht="23.1" customHeight="1" x14ac:dyDescent="0.3">
      <c r="B29" s="304" t="s">
        <v>364</v>
      </c>
      <c r="C29" s="305" t="e">
        <f>הוצאות!#REF!</f>
        <v>#REF!</v>
      </c>
      <c r="D29" s="305" t="e">
        <f>הוצאות!#REF!</f>
        <v>#REF!</v>
      </c>
      <c r="E29" s="305" t="e">
        <f>הוצאות!#REF!</f>
        <v>#REF!</v>
      </c>
      <c r="F29" s="305" t="e">
        <f>הוצאות!#REF!</f>
        <v>#REF!</v>
      </c>
      <c r="G29" s="305" t="e">
        <f>הוצאות!#REF!+הוצאות!#REF!</f>
        <v>#REF!</v>
      </c>
      <c r="H29" s="305" t="e">
        <f>הוצאות!#REF!+הוצאות!#REF!</f>
        <v>#REF!</v>
      </c>
      <c r="I29" s="305" t="e">
        <f>הוצאות!#REF!+הוצאות!#REF!</f>
        <v>#REF!</v>
      </c>
      <c r="J29" s="305" t="e">
        <f>הוצאות!#REF!+הוצאות!#REF!</f>
        <v>#REF!</v>
      </c>
      <c r="K29" s="305" t="e">
        <f>הוצאות!#REF!+הוצאות!#REF!</f>
        <v>#REF!</v>
      </c>
      <c r="L29" s="305" t="e">
        <f>הוצאות!#REF!+הוצאות!#REF!</f>
        <v>#REF!</v>
      </c>
      <c r="M29" s="305" t="e">
        <f>הוצאות!#REF!+הוצאות!#REF!</f>
        <v>#REF!</v>
      </c>
      <c r="N29" s="305" t="e">
        <f>הוצאות!#REF!+הוצאות!#REF!</f>
        <v>#REF!</v>
      </c>
      <c r="O29" s="316" t="e">
        <f>הוצאות!#REF!+הוצאות!#REF!</f>
        <v>#REF!</v>
      </c>
      <c r="P29" s="316" t="e">
        <f>הוצאות!#REF!+הוצאות!#REF!</f>
        <v>#REF!</v>
      </c>
      <c r="Q29" s="316" t="e">
        <f>הוצאות!#REF!+הוצאות!#REF!</f>
        <v>#REF!</v>
      </c>
      <c r="R29" s="307" t="e">
        <f>הוצאות!#REF!+הוצאות!#REF!</f>
        <v>#REF!</v>
      </c>
      <c r="S29" s="307" t="e">
        <f>הוצאות!#REF!+הוצאות!#REF!</f>
        <v>#REF!</v>
      </c>
      <c r="T29" s="307" t="e">
        <f>הוצאות!#REF!+הוצאות!#REF!</f>
        <v>#REF!</v>
      </c>
      <c r="U29" s="307" t="e">
        <f>הוצאות!#REF!+הוצאות!#REF!</f>
        <v>#REF!</v>
      </c>
      <c r="V29" s="307" t="e">
        <f>הוצאות!#REF!+הוצאות!#REF!</f>
        <v>#REF!</v>
      </c>
      <c r="W29" s="307" t="e">
        <f>הוצאות!#REF!+הוצאות!#REF!</f>
        <v>#REF!</v>
      </c>
      <c r="X29" s="307">
        <f>הוצאות!Z69</f>
        <v>4300000</v>
      </c>
      <c r="Y29" s="307">
        <f>הוצאות!AA69</f>
        <v>3950000</v>
      </c>
      <c r="Z29" s="307">
        <f>הוצאות!AB69</f>
        <v>3950000</v>
      </c>
      <c r="AA29" s="307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</row>
    <row r="30" spans="2:50" ht="22.5" customHeight="1" x14ac:dyDescent="0.3">
      <c r="B30" s="304" t="s">
        <v>362</v>
      </c>
      <c r="C30" s="305">
        <f>הוצאות!C65</f>
        <v>1230000</v>
      </c>
      <c r="D30" s="305">
        <f>הוצאות!D65</f>
        <v>0</v>
      </c>
      <c r="E30" s="305">
        <f>הוצאות!E65</f>
        <v>2442778</v>
      </c>
      <c r="F30" s="305">
        <f>הוצאות!F65</f>
        <v>1675000</v>
      </c>
      <c r="G30" s="305">
        <f>הוצאות!G65</f>
        <v>1500000</v>
      </c>
      <c r="H30" s="305">
        <f>הוצאות!H65</f>
        <v>1590362</v>
      </c>
      <c r="I30" s="305">
        <f>הוצאות!I65</f>
        <v>1974080</v>
      </c>
      <c r="J30" s="305">
        <f>הוצאות!J65</f>
        <v>0</v>
      </c>
      <c r="K30" s="305">
        <f>הוצאות!K65</f>
        <v>2632106.6666666665</v>
      </c>
      <c r="L30" s="305">
        <f>הוצאות!N65</f>
        <v>1300000</v>
      </c>
      <c r="M30" s="305">
        <f>הוצאות!O65</f>
        <v>1377000</v>
      </c>
      <c r="N30" s="305">
        <f>הוצאות!P65</f>
        <v>1463622</v>
      </c>
      <c r="O30" s="316">
        <f>הוצאות!Q65</f>
        <v>1277000</v>
      </c>
      <c r="P30" s="316">
        <f>הוצאות!R65</f>
        <v>572193.82000000007</v>
      </c>
      <c r="Q30" s="316">
        <f>הוצאות!S65</f>
        <v>1144387.6400000001</v>
      </c>
      <c r="R30" s="307">
        <f>הוצאות!T65</f>
        <v>1214311</v>
      </c>
      <c r="S30" s="307">
        <f>הוצאות!U65</f>
        <v>942625</v>
      </c>
      <c r="T30" s="307">
        <f>הוצאות!V65</f>
        <v>1131150</v>
      </c>
      <c r="U30" s="307">
        <f>הוצאות!W65</f>
        <v>1166947</v>
      </c>
      <c r="V30" s="307">
        <f>הוצאות!X65</f>
        <v>1084004</v>
      </c>
      <c r="W30" s="307">
        <f>הוצאות!Y65</f>
        <v>1260000</v>
      </c>
      <c r="X30" s="307">
        <f>הוצאות!Z65</f>
        <v>1260000</v>
      </c>
      <c r="Y30" s="307">
        <f>הוצאות!AA65</f>
        <v>1105000</v>
      </c>
      <c r="Z30" s="307">
        <f>הוצאות!AB65</f>
        <v>1105000</v>
      </c>
      <c r="AA30" s="307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</row>
    <row r="31" spans="2:50" ht="23.1" customHeight="1" x14ac:dyDescent="0.3">
      <c r="B31" s="304" t="s">
        <v>348</v>
      </c>
      <c r="C31" s="305">
        <f>הוצאות!C476</f>
        <v>10000000</v>
      </c>
      <c r="D31" s="305">
        <f>הוצאות!D476</f>
        <v>0</v>
      </c>
      <c r="E31" s="305">
        <f>הוצאות!E476</f>
        <v>7864000</v>
      </c>
      <c r="F31" s="305">
        <f>הוצאות!F476</f>
        <v>8000000</v>
      </c>
      <c r="G31" s="305">
        <f>הוצאות!G476</f>
        <v>8000000</v>
      </c>
      <c r="H31" s="305">
        <f>הוצאות!H476</f>
        <v>4433000</v>
      </c>
      <c r="I31" s="305">
        <f>הוצאות!I476</f>
        <v>5041247</v>
      </c>
      <c r="J31" s="305">
        <f>הוצאות!J476</f>
        <v>0</v>
      </c>
      <c r="K31" s="305">
        <f>הוצאות!K476</f>
        <v>7200000</v>
      </c>
      <c r="L31" s="305">
        <f>הוצאות!N476</f>
        <v>8000000</v>
      </c>
      <c r="M31" s="305">
        <f>הוצאות!O476</f>
        <v>8000000</v>
      </c>
      <c r="N31" s="305">
        <f>הוצאות!P476</f>
        <v>7200000</v>
      </c>
      <c r="O31" s="316">
        <f>הוצאות!Q476</f>
        <v>8000000</v>
      </c>
      <c r="P31" s="316">
        <f>הוצאות!R476</f>
        <v>5308368</v>
      </c>
      <c r="Q31" s="316">
        <f>הוצאות!S476</f>
        <v>9116736</v>
      </c>
      <c r="R31" s="307">
        <f>הוצאות!T476</f>
        <v>9200000</v>
      </c>
      <c r="S31" s="307">
        <f>הוצאות!U476</f>
        <v>8335314</v>
      </c>
      <c r="T31" s="307">
        <f>הוצאות!V476</f>
        <v>10002376.800000001</v>
      </c>
      <c r="U31" s="307">
        <f>הוצאות!W476</f>
        <v>9500000</v>
      </c>
      <c r="V31" s="307">
        <f>הוצאות!X476</f>
        <v>7981323</v>
      </c>
      <c r="W31" s="307">
        <f>הוצאות!Y476</f>
        <v>9600000</v>
      </c>
      <c r="X31" s="307">
        <f>הוצאות!Z476</f>
        <v>9600000</v>
      </c>
      <c r="Y31" s="307">
        <f>הוצאות!AA476</f>
        <v>10000000</v>
      </c>
      <c r="Z31" s="307">
        <f>הוצאות!AB476</f>
        <v>10000000</v>
      </c>
      <c r="AA31" s="307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</row>
    <row r="32" spans="2:50" ht="24" customHeight="1" x14ac:dyDescent="0.3">
      <c r="B32" s="304" t="s">
        <v>414</v>
      </c>
      <c r="C32" s="305">
        <v>0</v>
      </c>
      <c r="D32" s="305"/>
      <c r="E32" s="305">
        <v>0</v>
      </c>
      <c r="F32" s="305">
        <f>הוצאות!F483</f>
        <v>3240300</v>
      </c>
      <c r="G32" s="305" t="e">
        <f>הוצאות!G483</f>
        <v>#REF!</v>
      </c>
      <c r="H32" s="305" t="e">
        <f>הוצאות!H483</f>
        <v>#REF!</v>
      </c>
      <c r="I32" s="305">
        <f>הוצאות!I483</f>
        <v>2000000</v>
      </c>
      <c r="J32" s="305">
        <f>הוצאות!J483</f>
        <v>0</v>
      </c>
      <c r="K32" s="305">
        <f>הוצאות!K483</f>
        <v>2000000</v>
      </c>
      <c r="L32" s="305">
        <f>הוצאות!N483</f>
        <v>398300</v>
      </c>
      <c r="M32" s="305">
        <f>הוצאות!O483</f>
        <v>1747500</v>
      </c>
      <c r="N32" s="305">
        <f>הוצאות!P483</f>
        <v>712000</v>
      </c>
      <c r="O32" s="316" t="e">
        <f>הוצאות!Q483</f>
        <v>#REF!</v>
      </c>
      <c r="P32" s="316" t="e">
        <f>הוצאות!R483</f>
        <v>#REF!</v>
      </c>
      <c r="Q32" s="316" t="e">
        <f>הוצאות!S483</f>
        <v>#REF!</v>
      </c>
      <c r="R32" s="307" t="e">
        <f>הוצאות!T483</f>
        <v>#REF!</v>
      </c>
      <c r="S32" s="307" t="e">
        <f>הוצאות!U483</f>
        <v>#REF!</v>
      </c>
      <c r="T32" s="307" t="e">
        <f>הוצאות!V483</f>
        <v>#REF!</v>
      </c>
      <c r="U32" s="307">
        <f>הוצאות!W483</f>
        <v>0</v>
      </c>
      <c r="V32" s="307">
        <f>הוצאות!X483</f>
        <v>0</v>
      </c>
      <c r="W32" s="307">
        <f>הוצאות!Y483</f>
        <v>0</v>
      </c>
      <c r="X32" s="307">
        <f>הוצאות!Z483</f>
        <v>0</v>
      </c>
      <c r="Y32" s="307">
        <f>הוצאות!AA483</f>
        <v>0</v>
      </c>
      <c r="Z32" s="307">
        <f>הוצאות!AB483</f>
        <v>4206000</v>
      </c>
      <c r="AA32" s="307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</row>
    <row r="33" spans="2:50" ht="19.5" customHeight="1" x14ac:dyDescent="0.3">
      <c r="B33" s="304" t="s">
        <v>378</v>
      </c>
      <c r="C33" s="305">
        <f>הוצאות!C481</f>
        <v>0</v>
      </c>
      <c r="D33" s="305">
        <f>הוצאות!D481</f>
        <v>6873000</v>
      </c>
      <c r="E33" s="305">
        <f>הוצאות!E481</f>
        <v>0</v>
      </c>
      <c r="F33" s="305">
        <f>הוצאות!F481</f>
        <v>0</v>
      </c>
      <c r="G33" s="305">
        <f>הוצאות!G481</f>
        <v>0</v>
      </c>
      <c r="H33" s="305">
        <f>הוצאות!H481</f>
        <v>0</v>
      </c>
      <c r="I33" s="305">
        <f>הוצאות!I481</f>
        <v>400000</v>
      </c>
      <c r="J33" s="305">
        <f>הוצאות!J481</f>
        <v>0</v>
      </c>
      <c r="K33" s="305">
        <f>הוצאות!K481</f>
        <v>400000</v>
      </c>
      <c r="L33" s="305">
        <f>הוצאות!N481</f>
        <v>2000000</v>
      </c>
      <c r="M33" s="305">
        <f>הוצאות!O481</f>
        <v>2750000</v>
      </c>
      <c r="N33" s="305">
        <f>הוצאות!P481</f>
        <v>2750000</v>
      </c>
      <c r="O33" s="316">
        <f>הוצאות!Q481</f>
        <v>1100000</v>
      </c>
      <c r="P33" s="316">
        <f>הוצאות!R481</f>
        <v>3113000</v>
      </c>
      <c r="Q33" s="316">
        <f>הוצאות!S481</f>
        <v>3113000</v>
      </c>
      <c r="R33" s="307">
        <f>הוצאות!T481</f>
        <v>3113000</v>
      </c>
      <c r="S33" s="307">
        <f>הוצאות!U481</f>
        <v>3413000</v>
      </c>
      <c r="T33" s="307">
        <f>הוצאות!V481</f>
        <v>3413000</v>
      </c>
      <c r="U33" s="307">
        <f>הוצאות!W481</f>
        <v>0</v>
      </c>
      <c r="V33" s="307">
        <f>הוצאות!X481</f>
        <v>0</v>
      </c>
      <c r="W33" s="307">
        <f>הוצאות!Y481</f>
        <v>0</v>
      </c>
      <c r="X33" s="307">
        <f>הוצאות!Z481</f>
        <v>0</v>
      </c>
      <c r="Y33" s="307">
        <f>הוצאות!AA481</f>
        <v>0</v>
      </c>
      <c r="Z33" s="307">
        <f>הוצאות!AB481</f>
        <v>0</v>
      </c>
      <c r="AA33" s="307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</row>
    <row r="34" spans="2:50" ht="23.1" customHeight="1" x14ac:dyDescent="0.3">
      <c r="B34" s="311" t="s">
        <v>363</v>
      </c>
      <c r="C34" s="312" t="e">
        <f t="shared" ref="C34:U34" si="1">SUM(C22:C33)</f>
        <v>#REF!</v>
      </c>
      <c r="D34" s="312" t="e">
        <f t="shared" si="1"/>
        <v>#REF!</v>
      </c>
      <c r="E34" s="312" t="e">
        <f t="shared" si="1"/>
        <v>#REF!</v>
      </c>
      <c r="F34" s="312" t="e">
        <f t="shared" si="1"/>
        <v>#REF!</v>
      </c>
      <c r="G34" s="312" t="e">
        <f t="shared" si="1"/>
        <v>#REF!</v>
      </c>
      <c r="H34" s="312" t="e">
        <f t="shared" si="1"/>
        <v>#REF!</v>
      </c>
      <c r="I34" s="312" t="e">
        <f t="shared" si="1"/>
        <v>#REF!</v>
      </c>
      <c r="J34" s="312" t="e">
        <f t="shared" si="1"/>
        <v>#REF!</v>
      </c>
      <c r="K34" s="312" t="e">
        <f t="shared" si="1"/>
        <v>#REF!</v>
      </c>
      <c r="L34" s="312" t="e">
        <f t="shared" si="1"/>
        <v>#REF!</v>
      </c>
      <c r="M34" s="312" t="e">
        <f t="shared" si="1"/>
        <v>#REF!</v>
      </c>
      <c r="N34" s="312" t="e">
        <f t="shared" si="1"/>
        <v>#REF!</v>
      </c>
      <c r="O34" s="312" t="e">
        <f t="shared" si="1"/>
        <v>#REF!</v>
      </c>
      <c r="P34" s="312" t="e">
        <f t="shared" si="1"/>
        <v>#REF!</v>
      </c>
      <c r="Q34" s="312" t="e">
        <f t="shared" si="1"/>
        <v>#REF!</v>
      </c>
      <c r="R34" s="312" t="e">
        <f t="shared" si="1"/>
        <v>#REF!</v>
      </c>
      <c r="S34" s="312" t="e">
        <f t="shared" si="1"/>
        <v>#REF!</v>
      </c>
      <c r="T34" s="312" t="e">
        <f t="shared" si="1"/>
        <v>#REF!</v>
      </c>
      <c r="U34" s="312" t="e">
        <f t="shared" si="1"/>
        <v>#REF!</v>
      </c>
      <c r="V34" s="312" t="e">
        <f t="shared" ref="V34:AA34" si="2">SUM(V22:V33)</f>
        <v>#REF!</v>
      </c>
      <c r="W34" s="312" t="e">
        <f t="shared" si="2"/>
        <v>#REF!</v>
      </c>
      <c r="X34" s="312">
        <f t="shared" si="2"/>
        <v>161935100.40000001</v>
      </c>
      <c r="Y34" s="312">
        <f t="shared" si="2"/>
        <v>168212400</v>
      </c>
      <c r="Z34" s="312">
        <f t="shared" si="2"/>
        <v>181058000</v>
      </c>
      <c r="AA34" s="312">
        <f t="shared" si="2"/>
        <v>687.06</v>
      </c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</row>
    <row r="35" spans="2:50" ht="23.1" customHeight="1" x14ac:dyDescent="0.3">
      <c r="B35" s="311" t="s">
        <v>416</v>
      </c>
      <c r="C35" s="312" t="e">
        <f t="shared" ref="C35:Z35" si="3">C19-C34</f>
        <v>#REF!</v>
      </c>
      <c r="D35" s="312" t="e">
        <f t="shared" si="3"/>
        <v>#REF!</v>
      </c>
      <c r="E35" s="312" t="e">
        <f t="shared" si="3"/>
        <v>#REF!</v>
      </c>
      <c r="F35" s="312" t="e">
        <f t="shared" si="3"/>
        <v>#REF!</v>
      </c>
      <c r="G35" s="312" t="e">
        <f t="shared" si="3"/>
        <v>#REF!</v>
      </c>
      <c r="H35" s="312" t="e">
        <f t="shared" si="3"/>
        <v>#REF!</v>
      </c>
      <c r="I35" s="312" t="e">
        <f t="shared" si="3"/>
        <v>#REF!</v>
      </c>
      <c r="J35" s="312" t="e">
        <f t="shared" si="3"/>
        <v>#REF!</v>
      </c>
      <c r="K35" s="312" t="e">
        <f t="shared" si="3"/>
        <v>#REF!</v>
      </c>
      <c r="L35" s="312" t="e">
        <f t="shared" si="3"/>
        <v>#REF!</v>
      </c>
      <c r="M35" s="312" t="e">
        <f t="shared" si="3"/>
        <v>#REF!</v>
      </c>
      <c r="N35" s="312" t="e">
        <f t="shared" si="3"/>
        <v>#REF!</v>
      </c>
      <c r="O35" s="312" t="e">
        <f t="shared" si="3"/>
        <v>#REF!</v>
      </c>
      <c r="P35" s="312" t="e">
        <f t="shared" si="3"/>
        <v>#REF!</v>
      </c>
      <c r="Q35" s="312" t="e">
        <f t="shared" si="3"/>
        <v>#REF!</v>
      </c>
      <c r="R35" s="312" t="e">
        <f t="shared" si="3"/>
        <v>#REF!</v>
      </c>
      <c r="S35" s="312" t="e">
        <f t="shared" si="3"/>
        <v>#REF!</v>
      </c>
      <c r="T35" s="312" t="e">
        <f t="shared" si="3"/>
        <v>#REF!</v>
      </c>
      <c r="U35" s="312" t="e">
        <f t="shared" si="3"/>
        <v>#REF!</v>
      </c>
      <c r="V35" s="312" t="e">
        <f t="shared" si="3"/>
        <v>#REF!</v>
      </c>
      <c r="W35" s="312" t="e">
        <f t="shared" si="3"/>
        <v>#REF!</v>
      </c>
      <c r="X35" s="312">
        <f t="shared" si="3"/>
        <v>0</v>
      </c>
      <c r="Y35" s="312">
        <f t="shared" si="3"/>
        <v>0</v>
      </c>
      <c r="Z35" s="312">
        <f t="shared" si="3"/>
        <v>0</v>
      </c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</row>
    <row r="36" spans="2:50" ht="23.1" customHeight="1" x14ac:dyDescent="0.3">
      <c r="B36" s="319"/>
      <c r="C36" s="320"/>
      <c r="D36" s="320"/>
      <c r="E36" s="320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318"/>
      <c r="Q36" s="291"/>
      <c r="R36" s="291"/>
      <c r="S36" s="318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</row>
    <row r="37" spans="2:50" ht="23.1" customHeight="1" x14ac:dyDescent="0.3">
      <c r="B37" s="321"/>
      <c r="C37" s="320"/>
      <c r="D37" s="320"/>
      <c r="E37" s="320"/>
      <c r="F37" s="291"/>
      <c r="G37" s="291"/>
      <c r="H37" s="291"/>
      <c r="I37" s="291"/>
      <c r="J37" s="291"/>
      <c r="K37" s="291"/>
      <c r="L37" s="291"/>
      <c r="M37" s="291"/>
      <c r="N37" s="291"/>
      <c r="O37" s="318"/>
      <c r="P37" s="318"/>
      <c r="Q37" s="318"/>
      <c r="R37" s="318"/>
      <c r="S37" s="318"/>
      <c r="T37" s="318"/>
      <c r="U37" s="318"/>
      <c r="V37" s="318"/>
      <c r="W37" s="318"/>
      <c r="X37" s="318"/>
      <c r="Y37" s="318"/>
      <c r="Z37" s="318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</row>
    <row r="38" spans="2:50" ht="23.1" customHeight="1" x14ac:dyDescent="0.3">
      <c r="B38" s="321"/>
      <c r="C38" s="320"/>
      <c r="D38" s="320"/>
      <c r="E38" s="320"/>
      <c r="F38" s="291"/>
      <c r="G38" s="291"/>
      <c r="H38" s="291"/>
      <c r="I38" s="291"/>
      <c r="J38" s="291"/>
      <c r="K38" s="291"/>
      <c r="L38" s="291"/>
      <c r="M38" s="291"/>
      <c r="N38" s="291"/>
      <c r="O38" s="322"/>
      <c r="P38" s="322"/>
      <c r="Q38" s="322"/>
      <c r="R38" s="322"/>
      <c r="S38" s="322"/>
      <c r="T38" s="322"/>
      <c r="U38" s="322"/>
      <c r="V38" s="322"/>
      <c r="W38" s="322"/>
      <c r="X38" s="322"/>
      <c r="Y38" s="322"/>
      <c r="Z38" s="322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</row>
    <row r="39" spans="2:50" ht="23.1" customHeight="1" x14ac:dyDescent="0.3">
      <c r="B39" s="319"/>
      <c r="C39" s="320"/>
      <c r="D39" s="320"/>
      <c r="E39" s="320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</row>
    <row r="40" spans="2:50" ht="23.1" customHeight="1" x14ac:dyDescent="0.3">
      <c r="B40" s="319"/>
      <c r="C40" s="320"/>
      <c r="D40" s="320"/>
      <c r="E40" s="320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</row>
    <row r="41" spans="2:50" ht="23.1" customHeight="1" x14ac:dyDescent="0.3">
      <c r="B41" s="319"/>
      <c r="C41" s="320"/>
      <c r="D41" s="320"/>
      <c r="E41" s="320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</row>
    <row r="42" spans="2:50" ht="23.1" customHeight="1" x14ac:dyDescent="0.3">
      <c r="B42" s="319"/>
      <c r="C42" s="320"/>
      <c r="D42" s="320"/>
      <c r="E42" s="320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</row>
    <row r="43" spans="2:50" ht="23.1" customHeight="1" x14ac:dyDescent="0.3">
      <c r="B43" s="319"/>
      <c r="C43" s="320"/>
      <c r="D43" s="320"/>
      <c r="E43" s="320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</row>
    <row r="44" spans="2:50" ht="23.1" customHeight="1" x14ac:dyDescent="0.3">
      <c r="B44" s="319"/>
      <c r="C44" s="320"/>
      <c r="D44" s="320"/>
      <c r="E44" s="320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</row>
    <row r="45" spans="2:50" ht="23.1" customHeight="1" x14ac:dyDescent="0.3">
      <c r="B45" s="319"/>
      <c r="C45" s="320"/>
      <c r="D45" s="320"/>
      <c r="E45" s="320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</row>
    <row r="46" spans="2:50" ht="23.1" customHeight="1" x14ac:dyDescent="0.3">
      <c r="B46" s="319"/>
      <c r="C46" s="320"/>
      <c r="D46" s="320"/>
      <c r="E46" s="320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</row>
    <row r="47" spans="2:50" ht="23.1" customHeight="1" x14ac:dyDescent="0.3">
      <c r="B47" s="319"/>
      <c r="C47" s="320"/>
      <c r="D47" s="320"/>
      <c r="E47" s="320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</row>
    <row r="48" spans="2:50" ht="23.1" customHeight="1" x14ac:dyDescent="0.3">
      <c r="B48" s="319"/>
      <c r="C48" s="320"/>
      <c r="D48" s="320"/>
      <c r="E48" s="320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</row>
    <row r="49" spans="2:50" ht="23.1" customHeight="1" x14ac:dyDescent="0.3">
      <c r="B49" s="319"/>
      <c r="C49" s="320"/>
      <c r="D49" s="320"/>
      <c r="E49" s="320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</row>
    <row r="50" spans="2:50" ht="23.1" customHeight="1" x14ac:dyDescent="0.3">
      <c r="B50" s="319"/>
      <c r="C50" s="320"/>
      <c r="D50" s="320"/>
      <c r="E50" s="320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</row>
    <row r="51" spans="2:50" ht="23.1" customHeight="1" x14ac:dyDescent="0.3">
      <c r="B51" s="319"/>
      <c r="C51" s="320"/>
      <c r="D51" s="320"/>
      <c r="E51" s="320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</row>
    <row r="52" spans="2:50" ht="23.1" customHeight="1" x14ac:dyDescent="0.3">
      <c r="B52" s="319"/>
      <c r="C52" s="320"/>
      <c r="D52" s="320"/>
      <c r="E52" s="320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</row>
    <row r="53" spans="2:50" ht="23.1" customHeight="1" x14ac:dyDescent="0.3">
      <c r="B53" s="319"/>
      <c r="C53" s="320"/>
      <c r="D53" s="320"/>
      <c r="E53" s="320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</row>
    <row r="54" spans="2:50" ht="23.1" customHeight="1" x14ac:dyDescent="0.3">
      <c r="B54" s="319"/>
      <c r="C54" s="320"/>
      <c r="D54" s="320"/>
      <c r="E54" s="320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</row>
    <row r="55" spans="2:50" ht="23.1" customHeight="1" x14ac:dyDescent="0.3">
      <c r="B55" s="319"/>
      <c r="C55" s="320"/>
      <c r="D55" s="320"/>
      <c r="E55" s="320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</row>
    <row r="56" spans="2:50" ht="23.1" customHeight="1" x14ac:dyDescent="0.3">
      <c r="B56" s="319"/>
      <c r="C56" s="320"/>
      <c r="D56" s="320"/>
      <c r="E56" s="320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</row>
    <row r="57" spans="2:50" ht="23.1" customHeight="1" x14ac:dyDescent="0.3">
      <c r="B57" s="319"/>
      <c r="C57" s="320"/>
      <c r="D57" s="320"/>
      <c r="E57" s="320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</row>
    <row r="58" spans="2:50" ht="23.1" customHeight="1" x14ac:dyDescent="0.3">
      <c r="B58" s="319"/>
      <c r="C58" s="320"/>
      <c r="D58" s="320"/>
      <c r="E58" s="320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</row>
    <row r="59" spans="2:50" ht="23.1" customHeight="1" x14ac:dyDescent="0.3">
      <c r="B59" s="319"/>
      <c r="C59" s="320"/>
      <c r="D59" s="320"/>
      <c r="E59" s="320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</row>
    <row r="60" spans="2:50" ht="23.1" customHeight="1" x14ac:dyDescent="0.3">
      <c r="B60" s="319"/>
      <c r="C60" s="320"/>
      <c r="D60" s="320"/>
      <c r="E60" s="320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</row>
    <row r="61" spans="2:50" ht="23.1" customHeight="1" x14ac:dyDescent="0.3">
      <c r="B61" s="319"/>
      <c r="C61" s="320"/>
      <c r="D61" s="320"/>
      <c r="E61" s="320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</row>
    <row r="62" spans="2:50" ht="23.1" customHeight="1" x14ac:dyDescent="0.3">
      <c r="B62" s="319"/>
      <c r="C62" s="320"/>
      <c r="D62" s="320"/>
      <c r="E62" s="320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</row>
    <row r="63" spans="2:50" ht="23.1" customHeight="1" x14ac:dyDescent="0.3">
      <c r="B63" s="319"/>
      <c r="C63" s="320"/>
      <c r="D63" s="320"/>
      <c r="E63" s="320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</row>
    <row r="64" spans="2:50" ht="23.1" customHeight="1" x14ac:dyDescent="0.3">
      <c r="B64" s="319"/>
      <c r="C64" s="320"/>
      <c r="D64" s="320"/>
      <c r="E64" s="320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</row>
    <row r="65" spans="2:50" ht="23.1" customHeight="1" x14ac:dyDescent="0.3">
      <c r="B65" s="319"/>
      <c r="C65" s="320"/>
      <c r="D65" s="320"/>
      <c r="E65" s="320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</row>
    <row r="66" spans="2:50" ht="23.1" customHeight="1" x14ac:dyDescent="0.3">
      <c r="B66" s="319"/>
      <c r="C66" s="320"/>
      <c r="D66" s="320"/>
      <c r="E66" s="320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</row>
    <row r="67" spans="2:50" ht="23.1" customHeight="1" x14ac:dyDescent="0.3">
      <c r="B67" s="319"/>
      <c r="C67" s="320"/>
      <c r="D67" s="320"/>
      <c r="E67" s="320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</row>
    <row r="68" spans="2:50" ht="23.1" customHeight="1" x14ac:dyDescent="0.3">
      <c r="B68" s="319"/>
      <c r="C68" s="320"/>
      <c r="D68" s="320"/>
      <c r="E68" s="320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</row>
    <row r="69" spans="2:50" ht="23.1" customHeight="1" x14ac:dyDescent="0.3">
      <c r="B69" s="319"/>
      <c r="C69" s="320"/>
      <c r="D69" s="320"/>
      <c r="E69" s="320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</row>
    <row r="70" spans="2:50" ht="23.1" customHeight="1" x14ac:dyDescent="0.3">
      <c r="B70" s="319"/>
      <c r="C70" s="320"/>
      <c r="D70" s="320"/>
      <c r="E70" s="320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</row>
    <row r="71" spans="2:50" ht="23.1" customHeight="1" x14ac:dyDescent="0.3">
      <c r="B71" s="319"/>
      <c r="C71" s="320"/>
      <c r="D71" s="320"/>
      <c r="E71" s="320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</row>
    <row r="72" spans="2:50" ht="23.1" customHeight="1" x14ac:dyDescent="0.3">
      <c r="B72" s="319"/>
      <c r="C72" s="320"/>
      <c r="D72" s="320"/>
      <c r="E72" s="320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</row>
    <row r="73" spans="2:50" ht="23.1" customHeight="1" x14ac:dyDescent="0.3">
      <c r="B73" s="319"/>
      <c r="C73" s="320"/>
      <c r="D73" s="320"/>
      <c r="E73" s="320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S73" s="291"/>
      <c r="T73" s="291"/>
      <c r="U73" s="291"/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</row>
    <row r="74" spans="2:50" ht="23.1" customHeight="1" x14ac:dyDescent="0.3">
      <c r="B74" s="319"/>
      <c r="C74" s="320"/>
      <c r="D74" s="320"/>
      <c r="E74" s="320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S74" s="291"/>
      <c r="T74" s="291"/>
      <c r="U74" s="291"/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</row>
    <row r="75" spans="2:50" ht="23.1" customHeight="1" x14ac:dyDescent="0.3">
      <c r="B75" s="319"/>
      <c r="C75" s="320"/>
      <c r="D75" s="320"/>
      <c r="E75" s="320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</row>
    <row r="76" spans="2:50" ht="23.1" customHeight="1" x14ac:dyDescent="0.3">
      <c r="B76" s="319"/>
      <c r="C76" s="320"/>
      <c r="D76" s="320"/>
      <c r="E76" s="320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</row>
    <row r="77" spans="2:50" ht="23.1" customHeight="1" x14ac:dyDescent="0.3">
      <c r="B77" s="319"/>
      <c r="C77" s="320"/>
      <c r="D77" s="320"/>
      <c r="E77" s="320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</row>
    <row r="78" spans="2:50" ht="23.1" customHeight="1" x14ac:dyDescent="0.3">
      <c r="B78" s="319"/>
      <c r="C78" s="320"/>
      <c r="D78" s="320"/>
      <c r="E78" s="320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</row>
    <row r="79" spans="2:50" ht="23.1" customHeight="1" x14ac:dyDescent="0.3">
      <c r="B79" s="319"/>
      <c r="C79" s="320"/>
      <c r="D79" s="320"/>
      <c r="E79" s="320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</row>
    <row r="80" spans="2:50" ht="23.1" customHeight="1" x14ac:dyDescent="0.3">
      <c r="B80" s="319"/>
      <c r="C80" s="320"/>
      <c r="D80" s="320"/>
      <c r="E80" s="320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/>
      <c r="AD80" s="291"/>
      <c r="AE80" s="291"/>
      <c r="AF80" s="291"/>
      <c r="AG80" s="291"/>
      <c r="AH80" s="291"/>
      <c r="AI80" s="291"/>
      <c r="AJ80" s="291"/>
      <c r="AK80" s="291"/>
      <c r="AL80" s="291"/>
      <c r="AM80" s="291"/>
      <c r="AN80" s="291"/>
      <c r="AO80" s="291"/>
      <c r="AP80" s="291"/>
      <c r="AQ80" s="291"/>
      <c r="AR80" s="291"/>
      <c r="AS80" s="291"/>
      <c r="AT80" s="291"/>
      <c r="AU80" s="291"/>
      <c r="AV80" s="291"/>
      <c r="AW80" s="291"/>
      <c r="AX80" s="291"/>
    </row>
    <row r="81" spans="2:50" ht="23.1" customHeight="1" x14ac:dyDescent="0.3">
      <c r="B81" s="319"/>
      <c r="C81" s="320"/>
      <c r="D81" s="320"/>
      <c r="E81" s="320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1"/>
      <c r="AK81" s="291"/>
      <c r="AL81" s="291"/>
      <c r="AM81" s="291"/>
      <c r="AN81" s="291"/>
      <c r="AO81" s="291"/>
      <c r="AP81" s="291"/>
      <c r="AQ81" s="291"/>
      <c r="AR81" s="291"/>
      <c r="AS81" s="291"/>
      <c r="AT81" s="291"/>
      <c r="AU81" s="291"/>
      <c r="AV81" s="291"/>
      <c r="AW81" s="291"/>
      <c r="AX81" s="291"/>
    </row>
    <row r="82" spans="2:50" ht="23.1" customHeight="1" x14ac:dyDescent="0.3">
      <c r="B82" s="319"/>
      <c r="C82" s="320"/>
      <c r="D82" s="320"/>
      <c r="E82" s="320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1"/>
      <c r="AA82" s="291"/>
      <c r="AB82" s="291"/>
      <c r="AC82" s="291"/>
      <c r="AD82" s="291"/>
      <c r="AE82" s="291"/>
      <c r="AF82" s="291"/>
      <c r="AG82" s="291"/>
      <c r="AH82" s="291"/>
      <c r="AI82" s="291"/>
      <c r="AJ82" s="291"/>
      <c r="AK82" s="291"/>
      <c r="AL82" s="291"/>
      <c r="AM82" s="291"/>
      <c r="AN82" s="291"/>
      <c r="AO82" s="291"/>
      <c r="AP82" s="291"/>
      <c r="AQ82" s="291"/>
      <c r="AR82" s="291"/>
      <c r="AS82" s="291"/>
      <c r="AT82" s="291"/>
      <c r="AU82" s="291"/>
      <c r="AV82" s="291"/>
      <c r="AW82" s="291"/>
      <c r="AX82" s="291"/>
    </row>
    <row r="83" spans="2:50" ht="23.1" customHeight="1" x14ac:dyDescent="0.3">
      <c r="B83" s="319"/>
      <c r="C83" s="320"/>
      <c r="D83" s="320"/>
      <c r="E83" s="320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  <c r="AA83" s="291"/>
      <c r="AB83" s="291"/>
      <c r="AC83" s="291"/>
      <c r="AD83" s="291"/>
      <c r="AE83" s="291"/>
      <c r="AF83" s="291"/>
      <c r="AG83" s="291"/>
      <c r="AH83" s="291"/>
      <c r="AI83" s="291"/>
      <c r="AJ83" s="291"/>
      <c r="AK83" s="291"/>
      <c r="AL83" s="291"/>
      <c r="AM83" s="291"/>
      <c r="AN83" s="291"/>
      <c r="AO83" s="291"/>
      <c r="AP83" s="291"/>
      <c r="AQ83" s="291"/>
      <c r="AR83" s="291"/>
      <c r="AS83" s="291"/>
      <c r="AT83" s="291"/>
      <c r="AU83" s="291"/>
      <c r="AV83" s="291"/>
      <c r="AW83" s="291"/>
      <c r="AX83" s="291"/>
    </row>
    <row r="84" spans="2:50" ht="23.1" customHeight="1" x14ac:dyDescent="0.3">
      <c r="B84" s="319"/>
      <c r="C84" s="320"/>
      <c r="D84" s="320"/>
      <c r="E84" s="320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1"/>
      <c r="AK84" s="291"/>
      <c r="AL84" s="291"/>
      <c r="AM84" s="291"/>
      <c r="AN84" s="291"/>
      <c r="AO84" s="291"/>
      <c r="AP84" s="291"/>
      <c r="AQ84" s="291"/>
      <c r="AR84" s="291"/>
      <c r="AS84" s="291"/>
      <c r="AT84" s="291"/>
      <c r="AU84" s="291"/>
      <c r="AV84" s="291"/>
      <c r="AW84" s="291"/>
      <c r="AX84" s="291"/>
    </row>
    <row r="85" spans="2:50" ht="23.1" customHeight="1" x14ac:dyDescent="0.3">
      <c r="B85" s="319"/>
      <c r="C85" s="320"/>
      <c r="D85" s="320"/>
      <c r="E85" s="320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91"/>
      <c r="AB85" s="291"/>
      <c r="AC85" s="291"/>
      <c r="AD85" s="291"/>
      <c r="AE85" s="291"/>
      <c r="AF85" s="291"/>
      <c r="AG85" s="291"/>
      <c r="AH85" s="291"/>
      <c r="AI85" s="291"/>
      <c r="AJ85" s="291"/>
      <c r="AK85" s="291"/>
      <c r="AL85" s="291"/>
      <c r="AM85" s="291"/>
      <c r="AN85" s="291"/>
      <c r="AO85" s="291"/>
      <c r="AP85" s="291"/>
      <c r="AQ85" s="291"/>
      <c r="AR85" s="291"/>
      <c r="AS85" s="291"/>
      <c r="AT85" s="291"/>
      <c r="AU85" s="291"/>
      <c r="AV85" s="291"/>
      <c r="AW85" s="291"/>
      <c r="AX85" s="291"/>
    </row>
    <row r="86" spans="2:50" ht="23.1" customHeight="1" x14ac:dyDescent="0.3">
      <c r="B86" s="319"/>
      <c r="C86" s="320"/>
      <c r="D86" s="320"/>
      <c r="E86" s="320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</row>
    <row r="87" spans="2:50" ht="23.1" customHeight="1" x14ac:dyDescent="0.3">
      <c r="B87" s="319"/>
      <c r="C87" s="320"/>
      <c r="D87" s="320"/>
      <c r="E87" s="320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1"/>
      <c r="AA87" s="291"/>
      <c r="AB87" s="291"/>
      <c r="AC87" s="291"/>
      <c r="AD87" s="291"/>
      <c r="AE87" s="291"/>
      <c r="AF87" s="291"/>
      <c r="AG87" s="291"/>
      <c r="AH87" s="291"/>
      <c r="AI87" s="291"/>
      <c r="AJ87" s="291"/>
      <c r="AK87" s="291"/>
      <c r="AL87" s="291"/>
      <c r="AM87" s="291"/>
      <c r="AN87" s="291"/>
      <c r="AO87" s="291"/>
      <c r="AP87" s="291"/>
      <c r="AQ87" s="291"/>
      <c r="AR87" s="291"/>
      <c r="AS87" s="291"/>
      <c r="AT87" s="291"/>
      <c r="AU87" s="291"/>
      <c r="AV87" s="291"/>
      <c r="AW87" s="291"/>
      <c r="AX87" s="291"/>
    </row>
    <row r="88" spans="2:50" ht="23.1" customHeight="1" x14ac:dyDescent="0.3">
      <c r="B88" s="319"/>
      <c r="C88" s="320"/>
      <c r="D88" s="320"/>
      <c r="E88" s="320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291"/>
      <c r="AI88" s="291"/>
      <c r="AJ88" s="291"/>
      <c r="AK88" s="291"/>
      <c r="AL88" s="291"/>
      <c r="AM88" s="291"/>
      <c r="AN88" s="291"/>
      <c r="AO88" s="291"/>
      <c r="AP88" s="291"/>
      <c r="AQ88" s="291"/>
      <c r="AR88" s="291"/>
      <c r="AS88" s="291"/>
      <c r="AT88" s="291"/>
      <c r="AU88" s="291"/>
      <c r="AV88" s="291"/>
      <c r="AW88" s="291"/>
      <c r="AX88" s="291"/>
    </row>
    <row r="89" spans="2:50" ht="23.1" customHeight="1" x14ac:dyDescent="0.3">
      <c r="B89" s="319"/>
      <c r="C89" s="320"/>
      <c r="D89" s="320"/>
      <c r="E89" s="320"/>
      <c r="F89" s="291"/>
      <c r="G89" s="291"/>
      <c r="H89" s="291"/>
      <c r="I89" s="291"/>
      <c r="J89" s="291"/>
      <c r="K89" s="291"/>
      <c r="L89" s="291"/>
      <c r="M89" s="291"/>
      <c r="N89" s="291"/>
      <c r="O89" s="291"/>
      <c r="P89" s="291"/>
      <c r="Q89" s="291"/>
      <c r="R89" s="291"/>
      <c r="S89" s="291"/>
      <c r="T89" s="291"/>
      <c r="U89" s="291"/>
      <c r="V89" s="291"/>
      <c r="W89" s="291"/>
      <c r="X89" s="291"/>
      <c r="Y89" s="291"/>
      <c r="Z89" s="291"/>
      <c r="AA89" s="291"/>
      <c r="AB89" s="291"/>
      <c r="AC89" s="291"/>
      <c r="AD89" s="291"/>
      <c r="AE89" s="291"/>
      <c r="AF89" s="291"/>
      <c r="AG89" s="291"/>
      <c r="AH89" s="291"/>
      <c r="AI89" s="291"/>
      <c r="AJ89" s="291"/>
      <c r="AK89" s="291"/>
      <c r="AL89" s="291"/>
      <c r="AM89" s="291"/>
      <c r="AN89" s="291"/>
      <c r="AO89" s="291"/>
      <c r="AP89" s="291"/>
      <c r="AQ89" s="291"/>
      <c r="AR89" s="291"/>
      <c r="AS89" s="291"/>
      <c r="AT89" s="291"/>
      <c r="AU89" s="291"/>
      <c r="AV89" s="291"/>
      <c r="AW89" s="291"/>
      <c r="AX89" s="291"/>
    </row>
    <row r="90" spans="2:50" ht="23.1" customHeight="1" x14ac:dyDescent="0.3">
      <c r="B90" s="319"/>
      <c r="C90" s="320"/>
      <c r="D90" s="320"/>
      <c r="E90" s="320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S90" s="291"/>
      <c r="T90" s="291"/>
      <c r="U90" s="291"/>
      <c r="V90" s="291"/>
      <c r="W90" s="291"/>
      <c r="X90" s="291"/>
      <c r="Y90" s="291"/>
      <c r="Z90" s="291"/>
      <c r="AA90" s="291"/>
      <c r="AB90" s="291"/>
      <c r="AC90" s="291"/>
      <c r="AD90" s="291"/>
      <c r="AE90" s="291"/>
      <c r="AF90" s="291"/>
      <c r="AG90" s="291"/>
      <c r="AH90" s="291"/>
      <c r="AI90" s="291"/>
      <c r="AJ90" s="291"/>
      <c r="AK90" s="291"/>
      <c r="AL90" s="291"/>
      <c r="AM90" s="291"/>
      <c r="AN90" s="291"/>
      <c r="AO90" s="291"/>
      <c r="AP90" s="291"/>
      <c r="AQ90" s="291"/>
      <c r="AR90" s="291"/>
      <c r="AS90" s="291"/>
      <c r="AT90" s="291"/>
      <c r="AU90" s="291"/>
      <c r="AV90" s="291"/>
      <c r="AW90" s="291"/>
      <c r="AX90" s="291"/>
    </row>
    <row r="91" spans="2:50" ht="23.1" customHeight="1" x14ac:dyDescent="0.3">
      <c r="B91" s="319"/>
      <c r="C91" s="320"/>
      <c r="D91" s="320"/>
      <c r="E91" s="320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1"/>
      <c r="Z91" s="291"/>
      <c r="AA91" s="291"/>
      <c r="AB91" s="291"/>
      <c r="AC91" s="291"/>
      <c r="AD91" s="291"/>
      <c r="AE91" s="291"/>
      <c r="AF91" s="291"/>
      <c r="AG91" s="291"/>
      <c r="AH91" s="291"/>
      <c r="AI91" s="291"/>
      <c r="AJ91" s="291"/>
      <c r="AK91" s="291"/>
      <c r="AL91" s="291"/>
      <c r="AM91" s="291"/>
      <c r="AN91" s="291"/>
      <c r="AO91" s="291"/>
      <c r="AP91" s="291"/>
      <c r="AQ91" s="291"/>
      <c r="AR91" s="291"/>
      <c r="AS91" s="291"/>
      <c r="AT91" s="291"/>
      <c r="AU91" s="291"/>
      <c r="AV91" s="291"/>
      <c r="AW91" s="291"/>
      <c r="AX91" s="291"/>
    </row>
    <row r="92" spans="2:50" ht="23.1" customHeight="1" x14ac:dyDescent="0.3">
      <c r="B92" s="319"/>
      <c r="C92" s="320"/>
      <c r="D92" s="320"/>
      <c r="E92" s="320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291"/>
      <c r="AI92" s="291"/>
      <c r="AJ92" s="291"/>
      <c r="AK92" s="291"/>
      <c r="AL92" s="291"/>
      <c r="AM92" s="291"/>
      <c r="AN92" s="291"/>
      <c r="AO92" s="291"/>
      <c r="AP92" s="291"/>
      <c r="AQ92" s="291"/>
      <c r="AR92" s="291"/>
      <c r="AS92" s="291"/>
      <c r="AT92" s="291"/>
      <c r="AU92" s="291"/>
      <c r="AV92" s="291"/>
      <c r="AW92" s="291"/>
      <c r="AX92" s="291"/>
    </row>
    <row r="93" spans="2:50" ht="23.1" customHeight="1" x14ac:dyDescent="0.3">
      <c r="B93" s="319"/>
      <c r="C93" s="320"/>
      <c r="D93" s="320"/>
      <c r="E93" s="320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  <c r="AA93" s="291"/>
      <c r="AB93" s="291"/>
      <c r="AC93" s="291"/>
      <c r="AD93" s="291"/>
      <c r="AE93" s="291"/>
      <c r="AF93" s="291"/>
      <c r="AG93" s="291"/>
      <c r="AH93" s="291"/>
      <c r="AI93" s="291"/>
      <c r="AJ93" s="291"/>
      <c r="AK93" s="291"/>
      <c r="AL93" s="291"/>
      <c r="AM93" s="291"/>
      <c r="AN93" s="291"/>
      <c r="AO93" s="291"/>
      <c r="AP93" s="291"/>
      <c r="AQ93" s="291"/>
      <c r="AR93" s="291"/>
      <c r="AS93" s="291"/>
      <c r="AT93" s="291"/>
      <c r="AU93" s="291"/>
      <c r="AV93" s="291"/>
      <c r="AW93" s="291"/>
      <c r="AX93" s="291"/>
    </row>
    <row r="94" spans="2:50" ht="23.1" customHeight="1" x14ac:dyDescent="0.3">
      <c r="B94" s="319"/>
      <c r="C94" s="320"/>
      <c r="D94" s="320"/>
      <c r="E94" s="320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291"/>
      <c r="AI94" s="291"/>
      <c r="AJ94" s="291"/>
      <c r="AK94" s="291"/>
      <c r="AL94" s="291"/>
      <c r="AM94" s="291"/>
      <c r="AN94" s="291"/>
      <c r="AO94" s="291"/>
      <c r="AP94" s="291"/>
      <c r="AQ94" s="291"/>
      <c r="AR94" s="291"/>
      <c r="AS94" s="291"/>
      <c r="AT94" s="291"/>
      <c r="AU94" s="291"/>
      <c r="AV94" s="291"/>
      <c r="AW94" s="291"/>
      <c r="AX94" s="291"/>
    </row>
    <row r="95" spans="2:50" ht="23.1" customHeight="1" x14ac:dyDescent="0.3">
      <c r="B95" s="319"/>
      <c r="C95" s="320"/>
      <c r="D95" s="320"/>
      <c r="E95" s="320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  <c r="AA95" s="291"/>
      <c r="AB95" s="291"/>
      <c r="AC95" s="291"/>
      <c r="AD95" s="291"/>
      <c r="AE95" s="291"/>
      <c r="AF95" s="291"/>
      <c r="AG95" s="291"/>
      <c r="AH95" s="291"/>
      <c r="AI95" s="291"/>
      <c r="AJ95" s="291"/>
      <c r="AK95" s="291"/>
      <c r="AL95" s="291"/>
      <c r="AM95" s="291"/>
      <c r="AN95" s="291"/>
      <c r="AO95" s="291"/>
      <c r="AP95" s="291"/>
      <c r="AQ95" s="291"/>
      <c r="AR95" s="291"/>
      <c r="AS95" s="291"/>
      <c r="AT95" s="291"/>
      <c r="AU95" s="291"/>
      <c r="AV95" s="291"/>
      <c r="AW95" s="291"/>
      <c r="AX95" s="291"/>
    </row>
    <row r="96" spans="2:50" ht="23.1" customHeight="1" x14ac:dyDescent="0.3">
      <c r="B96" s="319"/>
      <c r="C96" s="320"/>
      <c r="D96" s="320"/>
      <c r="E96" s="320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1"/>
      <c r="AK96" s="291"/>
      <c r="AL96" s="291"/>
      <c r="AM96" s="291"/>
      <c r="AN96" s="291"/>
      <c r="AO96" s="291"/>
      <c r="AP96" s="291"/>
      <c r="AQ96" s="291"/>
      <c r="AR96" s="291"/>
      <c r="AS96" s="291"/>
      <c r="AT96" s="291"/>
      <c r="AU96" s="291"/>
      <c r="AV96" s="291"/>
      <c r="AW96" s="291"/>
      <c r="AX96" s="291"/>
    </row>
    <row r="97" spans="2:50" ht="23.1" customHeight="1" x14ac:dyDescent="0.3">
      <c r="B97" s="319"/>
      <c r="C97" s="320"/>
      <c r="D97" s="320"/>
      <c r="E97" s="320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S97" s="291"/>
      <c r="T97" s="291"/>
      <c r="U97" s="291"/>
      <c r="V97" s="291"/>
      <c r="W97" s="291"/>
      <c r="X97" s="291"/>
      <c r="Y97" s="291"/>
      <c r="Z97" s="291"/>
      <c r="AA97" s="291"/>
      <c r="AB97" s="291"/>
      <c r="AC97" s="291"/>
      <c r="AD97" s="291"/>
      <c r="AE97" s="291"/>
      <c r="AF97" s="291"/>
      <c r="AG97" s="291"/>
      <c r="AH97" s="291"/>
      <c r="AI97" s="291"/>
      <c r="AJ97" s="291"/>
      <c r="AK97" s="291"/>
      <c r="AL97" s="291"/>
      <c r="AM97" s="291"/>
      <c r="AN97" s="291"/>
      <c r="AO97" s="291"/>
      <c r="AP97" s="291"/>
      <c r="AQ97" s="291"/>
      <c r="AR97" s="291"/>
      <c r="AS97" s="291"/>
      <c r="AT97" s="291"/>
      <c r="AU97" s="291"/>
      <c r="AV97" s="291"/>
      <c r="AW97" s="291"/>
      <c r="AX97" s="291"/>
    </row>
    <row r="98" spans="2:50" ht="23.1" customHeight="1" x14ac:dyDescent="0.3">
      <c r="B98" s="319"/>
      <c r="C98" s="320"/>
      <c r="D98" s="320"/>
      <c r="E98" s="320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S98" s="291"/>
      <c r="T98" s="291"/>
      <c r="U98" s="291"/>
      <c r="V98" s="291"/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1"/>
      <c r="AK98" s="291"/>
      <c r="AL98" s="291"/>
      <c r="AM98" s="291"/>
      <c r="AN98" s="291"/>
      <c r="AO98" s="291"/>
      <c r="AP98" s="291"/>
      <c r="AQ98" s="291"/>
      <c r="AR98" s="291"/>
      <c r="AS98" s="291"/>
      <c r="AT98" s="291"/>
      <c r="AU98" s="291"/>
      <c r="AV98" s="291"/>
      <c r="AW98" s="291"/>
      <c r="AX98" s="291"/>
    </row>
    <row r="99" spans="2:50" ht="23.1" customHeight="1" x14ac:dyDescent="0.3">
      <c r="B99" s="319"/>
      <c r="C99" s="320"/>
      <c r="D99" s="320"/>
      <c r="E99" s="320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291"/>
      <c r="AI99" s="291"/>
      <c r="AJ99" s="291"/>
      <c r="AK99" s="291"/>
      <c r="AL99" s="291"/>
      <c r="AM99" s="291"/>
      <c r="AN99" s="291"/>
      <c r="AO99" s="291"/>
      <c r="AP99" s="291"/>
      <c r="AQ99" s="291"/>
      <c r="AR99" s="291"/>
      <c r="AS99" s="291"/>
      <c r="AT99" s="291"/>
      <c r="AU99" s="291"/>
      <c r="AV99" s="291"/>
      <c r="AW99" s="291"/>
      <c r="AX99" s="291"/>
    </row>
    <row r="100" spans="2:50" ht="23.1" customHeight="1" x14ac:dyDescent="0.3">
      <c r="B100" s="319"/>
      <c r="C100" s="320"/>
      <c r="D100" s="320"/>
      <c r="E100" s="320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1"/>
      <c r="AK100" s="291"/>
      <c r="AL100" s="291"/>
      <c r="AM100" s="291"/>
      <c r="AN100" s="291"/>
      <c r="AO100" s="291"/>
      <c r="AP100" s="291"/>
      <c r="AQ100" s="291"/>
      <c r="AR100" s="291"/>
      <c r="AS100" s="291"/>
      <c r="AT100" s="291"/>
      <c r="AU100" s="291"/>
      <c r="AV100" s="291"/>
      <c r="AW100" s="291"/>
      <c r="AX100" s="291"/>
    </row>
    <row r="101" spans="2:50" ht="23.1" customHeight="1" x14ac:dyDescent="0.3">
      <c r="B101" s="319"/>
      <c r="C101" s="320"/>
      <c r="D101" s="320"/>
      <c r="E101" s="320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291"/>
      <c r="AI101" s="291"/>
      <c r="AJ101" s="291"/>
      <c r="AK101" s="291"/>
      <c r="AL101" s="291"/>
      <c r="AM101" s="291"/>
      <c r="AN101" s="291"/>
      <c r="AO101" s="291"/>
      <c r="AP101" s="291"/>
      <c r="AQ101" s="291"/>
      <c r="AR101" s="291"/>
      <c r="AS101" s="291"/>
      <c r="AT101" s="291"/>
      <c r="AU101" s="291"/>
      <c r="AV101" s="291"/>
      <c r="AW101" s="291"/>
      <c r="AX101" s="291"/>
    </row>
    <row r="102" spans="2:50" ht="23.1" customHeight="1" x14ac:dyDescent="0.3">
      <c r="B102" s="319"/>
      <c r="C102" s="320"/>
      <c r="D102" s="320"/>
      <c r="E102" s="320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1"/>
      <c r="AK102" s="291"/>
      <c r="AL102" s="291"/>
      <c r="AM102" s="291"/>
      <c r="AN102" s="291"/>
      <c r="AO102" s="291"/>
      <c r="AP102" s="291"/>
      <c r="AQ102" s="291"/>
      <c r="AR102" s="291"/>
      <c r="AS102" s="291"/>
      <c r="AT102" s="291"/>
      <c r="AU102" s="291"/>
      <c r="AV102" s="291"/>
      <c r="AW102" s="291"/>
      <c r="AX102" s="291"/>
    </row>
    <row r="103" spans="2:50" ht="23.1" customHeight="1" x14ac:dyDescent="0.3">
      <c r="B103" s="319"/>
      <c r="C103" s="320"/>
      <c r="D103" s="320"/>
      <c r="E103" s="320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  <c r="AA103" s="291"/>
      <c r="AB103" s="291"/>
      <c r="AC103" s="291"/>
      <c r="AD103" s="291"/>
      <c r="AE103" s="291"/>
      <c r="AF103" s="291"/>
      <c r="AG103" s="291"/>
      <c r="AH103" s="291"/>
      <c r="AI103" s="291"/>
      <c r="AJ103" s="291"/>
      <c r="AK103" s="291"/>
      <c r="AL103" s="291"/>
      <c r="AM103" s="291"/>
      <c r="AN103" s="291"/>
      <c r="AO103" s="291"/>
      <c r="AP103" s="291"/>
      <c r="AQ103" s="291"/>
      <c r="AR103" s="291"/>
      <c r="AS103" s="291"/>
      <c r="AT103" s="291"/>
      <c r="AU103" s="291"/>
      <c r="AV103" s="291"/>
      <c r="AW103" s="291"/>
      <c r="AX103" s="291"/>
    </row>
    <row r="104" spans="2:50" ht="23.1" customHeight="1" x14ac:dyDescent="0.3">
      <c r="B104" s="319"/>
      <c r="C104" s="320"/>
      <c r="D104" s="320"/>
      <c r="E104" s="320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1"/>
      <c r="AK104" s="291"/>
      <c r="AL104" s="291"/>
      <c r="AM104" s="291"/>
      <c r="AN104" s="291"/>
      <c r="AO104" s="291"/>
      <c r="AP104" s="291"/>
      <c r="AQ104" s="291"/>
      <c r="AR104" s="291"/>
      <c r="AS104" s="291"/>
      <c r="AT104" s="291"/>
      <c r="AU104" s="291"/>
      <c r="AV104" s="291"/>
      <c r="AW104" s="291"/>
      <c r="AX104" s="291"/>
    </row>
    <row r="105" spans="2:50" ht="23.1" customHeight="1" x14ac:dyDescent="0.3">
      <c r="B105" s="319"/>
      <c r="C105" s="320"/>
      <c r="D105" s="320"/>
      <c r="E105" s="320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1"/>
      <c r="AK105" s="291"/>
      <c r="AL105" s="291"/>
      <c r="AM105" s="291"/>
      <c r="AN105" s="291"/>
      <c r="AO105" s="291"/>
      <c r="AP105" s="291"/>
      <c r="AQ105" s="291"/>
      <c r="AR105" s="291"/>
      <c r="AS105" s="291"/>
      <c r="AT105" s="291"/>
      <c r="AU105" s="291"/>
      <c r="AV105" s="291"/>
      <c r="AW105" s="291"/>
      <c r="AX105" s="291"/>
    </row>
    <row r="106" spans="2:50" ht="23.1" customHeight="1" x14ac:dyDescent="0.3">
      <c r="B106" s="319"/>
      <c r="C106" s="320"/>
      <c r="D106" s="320"/>
      <c r="E106" s="320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  <c r="AC106" s="291"/>
      <c r="AD106" s="291"/>
      <c r="AE106" s="291"/>
      <c r="AF106" s="291"/>
      <c r="AG106" s="291"/>
      <c r="AH106" s="291"/>
      <c r="AI106" s="291"/>
      <c r="AJ106" s="291"/>
      <c r="AK106" s="291"/>
      <c r="AL106" s="291"/>
      <c r="AM106" s="291"/>
      <c r="AN106" s="291"/>
      <c r="AO106" s="291"/>
      <c r="AP106" s="291"/>
      <c r="AQ106" s="291"/>
      <c r="AR106" s="291"/>
      <c r="AS106" s="291"/>
      <c r="AT106" s="291"/>
      <c r="AU106" s="291"/>
      <c r="AV106" s="291"/>
      <c r="AW106" s="291"/>
      <c r="AX106" s="291"/>
    </row>
    <row r="107" spans="2:50" ht="23.1" customHeight="1" x14ac:dyDescent="0.3">
      <c r="B107" s="319"/>
      <c r="C107" s="320"/>
      <c r="D107" s="320"/>
      <c r="E107" s="320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1"/>
      <c r="AK107" s="291"/>
      <c r="AL107" s="291"/>
      <c r="AM107" s="291"/>
      <c r="AN107" s="291"/>
      <c r="AO107" s="291"/>
      <c r="AP107" s="291"/>
      <c r="AQ107" s="291"/>
      <c r="AR107" s="291"/>
      <c r="AS107" s="291"/>
      <c r="AT107" s="291"/>
      <c r="AU107" s="291"/>
      <c r="AV107" s="291"/>
      <c r="AW107" s="291"/>
      <c r="AX107" s="291"/>
    </row>
    <row r="108" spans="2:50" ht="23.1" customHeight="1" x14ac:dyDescent="0.3">
      <c r="B108" s="319"/>
      <c r="C108" s="320"/>
      <c r="D108" s="320"/>
      <c r="E108" s="320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291"/>
      <c r="AI108" s="291"/>
      <c r="AJ108" s="291"/>
      <c r="AK108" s="291"/>
      <c r="AL108" s="291"/>
      <c r="AM108" s="291"/>
      <c r="AN108" s="291"/>
      <c r="AO108" s="291"/>
      <c r="AP108" s="291"/>
      <c r="AQ108" s="291"/>
      <c r="AR108" s="291"/>
      <c r="AS108" s="291"/>
      <c r="AT108" s="291"/>
      <c r="AU108" s="291"/>
      <c r="AV108" s="291"/>
      <c r="AW108" s="291"/>
      <c r="AX108" s="291"/>
    </row>
    <row r="109" spans="2:50" ht="23.1" customHeight="1" x14ac:dyDescent="0.3">
      <c r="B109" s="319"/>
      <c r="C109" s="320"/>
      <c r="D109" s="320"/>
      <c r="E109" s="320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1"/>
      <c r="AK109" s="291"/>
      <c r="AL109" s="291"/>
      <c r="AM109" s="291"/>
      <c r="AN109" s="291"/>
      <c r="AO109" s="291"/>
      <c r="AP109" s="291"/>
      <c r="AQ109" s="291"/>
      <c r="AR109" s="291"/>
      <c r="AS109" s="291"/>
      <c r="AT109" s="291"/>
      <c r="AU109" s="291"/>
      <c r="AV109" s="291"/>
      <c r="AW109" s="291"/>
      <c r="AX109" s="291"/>
    </row>
    <row r="110" spans="2:50" ht="23.1" customHeight="1" x14ac:dyDescent="0.3">
      <c r="B110" s="319"/>
      <c r="C110" s="320"/>
      <c r="D110" s="320"/>
      <c r="E110" s="320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1"/>
      <c r="AK110" s="291"/>
      <c r="AL110" s="291"/>
      <c r="AM110" s="291"/>
      <c r="AN110" s="291"/>
      <c r="AO110" s="291"/>
      <c r="AP110" s="291"/>
      <c r="AQ110" s="291"/>
      <c r="AR110" s="291"/>
      <c r="AS110" s="291"/>
      <c r="AT110" s="291"/>
      <c r="AU110" s="291"/>
      <c r="AV110" s="291"/>
      <c r="AW110" s="291"/>
      <c r="AX110" s="291"/>
    </row>
    <row r="111" spans="2:50" ht="23.1" customHeight="1" x14ac:dyDescent="0.3">
      <c r="B111" s="319"/>
      <c r="C111" s="320"/>
      <c r="D111" s="320"/>
      <c r="E111" s="320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  <c r="AI111" s="291"/>
      <c r="AJ111" s="291"/>
      <c r="AK111" s="291"/>
      <c r="AL111" s="291"/>
      <c r="AM111" s="291"/>
      <c r="AN111" s="291"/>
      <c r="AO111" s="291"/>
      <c r="AP111" s="291"/>
      <c r="AQ111" s="291"/>
      <c r="AR111" s="291"/>
      <c r="AS111" s="291"/>
      <c r="AT111" s="291"/>
      <c r="AU111" s="291"/>
      <c r="AV111" s="291"/>
      <c r="AW111" s="291"/>
      <c r="AX111" s="291"/>
    </row>
    <row r="112" spans="2:50" ht="23.1" customHeight="1" x14ac:dyDescent="0.3">
      <c r="B112" s="319"/>
      <c r="C112" s="320"/>
      <c r="D112" s="320"/>
      <c r="E112" s="320"/>
      <c r="F112" s="291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1"/>
      <c r="Y112" s="291"/>
      <c r="Z112" s="291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1"/>
      <c r="AL112" s="291"/>
      <c r="AM112" s="291"/>
      <c r="AN112" s="291"/>
      <c r="AO112" s="291"/>
      <c r="AP112" s="291"/>
      <c r="AQ112" s="291"/>
      <c r="AR112" s="291"/>
      <c r="AS112" s="291"/>
      <c r="AT112" s="291"/>
      <c r="AU112" s="291"/>
      <c r="AV112" s="291"/>
      <c r="AW112" s="291"/>
      <c r="AX112" s="291"/>
    </row>
    <row r="113" spans="2:50" ht="23.1" customHeight="1" x14ac:dyDescent="0.3">
      <c r="B113" s="319"/>
      <c r="C113" s="320"/>
      <c r="D113" s="320"/>
      <c r="E113" s="320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1"/>
      <c r="Y113" s="291"/>
      <c r="Z113" s="291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1"/>
      <c r="AL113" s="291"/>
      <c r="AM113" s="291"/>
      <c r="AN113" s="291"/>
      <c r="AO113" s="291"/>
      <c r="AP113" s="291"/>
      <c r="AQ113" s="291"/>
      <c r="AR113" s="291"/>
      <c r="AS113" s="291"/>
      <c r="AT113" s="291"/>
      <c r="AU113" s="291"/>
      <c r="AV113" s="291"/>
      <c r="AW113" s="291"/>
      <c r="AX113" s="291"/>
    </row>
    <row r="114" spans="2:50" ht="23.1" customHeight="1" x14ac:dyDescent="0.3">
      <c r="B114" s="319"/>
      <c r="C114" s="320"/>
      <c r="D114" s="320"/>
      <c r="E114" s="320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1"/>
      <c r="AL114" s="291"/>
      <c r="AM114" s="291"/>
      <c r="AN114" s="291"/>
      <c r="AO114" s="291"/>
      <c r="AP114" s="291"/>
      <c r="AQ114" s="291"/>
      <c r="AR114" s="291"/>
      <c r="AS114" s="291"/>
      <c r="AT114" s="291"/>
      <c r="AU114" s="291"/>
      <c r="AV114" s="291"/>
      <c r="AW114" s="291"/>
      <c r="AX114" s="291"/>
    </row>
    <row r="115" spans="2:50" ht="23.1" customHeight="1" x14ac:dyDescent="0.3">
      <c r="B115" s="319"/>
      <c r="C115" s="320"/>
      <c r="D115" s="320"/>
      <c r="E115" s="320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1"/>
      <c r="AL115" s="291"/>
      <c r="AM115" s="291"/>
      <c r="AN115" s="291"/>
      <c r="AO115" s="291"/>
      <c r="AP115" s="291"/>
      <c r="AQ115" s="291"/>
      <c r="AR115" s="291"/>
      <c r="AS115" s="291"/>
      <c r="AT115" s="291"/>
      <c r="AU115" s="291"/>
      <c r="AV115" s="291"/>
      <c r="AW115" s="291"/>
      <c r="AX115" s="291"/>
    </row>
    <row r="116" spans="2:50" ht="23.1" customHeight="1" x14ac:dyDescent="0.3">
      <c r="B116" s="319"/>
      <c r="C116" s="320"/>
      <c r="D116" s="320"/>
      <c r="E116" s="320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1"/>
      <c r="AK116" s="291"/>
      <c r="AL116" s="291"/>
      <c r="AM116" s="291"/>
      <c r="AN116" s="291"/>
      <c r="AO116" s="291"/>
      <c r="AP116" s="291"/>
      <c r="AQ116" s="291"/>
      <c r="AR116" s="291"/>
      <c r="AS116" s="291"/>
      <c r="AT116" s="291"/>
      <c r="AU116" s="291"/>
      <c r="AV116" s="291"/>
      <c r="AW116" s="291"/>
      <c r="AX116" s="291"/>
    </row>
    <row r="117" spans="2:50" ht="23.1" customHeight="1" x14ac:dyDescent="0.3">
      <c r="B117" s="319"/>
      <c r="C117" s="320"/>
      <c r="D117" s="320"/>
      <c r="E117" s="320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1"/>
      <c r="AL117" s="291"/>
      <c r="AM117" s="291"/>
      <c r="AN117" s="291"/>
      <c r="AO117" s="291"/>
      <c r="AP117" s="291"/>
      <c r="AQ117" s="291"/>
      <c r="AR117" s="291"/>
      <c r="AS117" s="291"/>
      <c r="AT117" s="291"/>
      <c r="AU117" s="291"/>
      <c r="AV117" s="291"/>
      <c r="AW117" s="291"/>
      <c r="AX117" s="291"/>
    </row>
    <row r="118" spans="2:50" ht="23.1" customHeight="1" x14ac:dyDescent="0.3">
      <c r="B118" s="319"/>
      <c r="C118" s="320"/>
      <c r="D118" s="320"/>
      <c r="E118" s="320"/>
      <c r="F118" s="291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1"/>
      <c r="AK118" s="291"/>
      <c r="AL118" s="291"/>
      <c r="AM118" s="291"/>
      <c r="AN118" s="291"/>
      <c r="AO118" s="291"/>
      <c r="AP118" s="291"/>
      <c r="AQ118" s="291"/>
      <c r="AR118" s="291"/>
      <c r="AS118" s="291"/>
      <c r="AT118" s="291"/>
      <c r="AU118" s="291"/>
      <c r="AV118" s="291"/>
      <c r="AW118" s="291"/>
      <c r="AX118" s="291"/>
    </row>
    <row r="119" spans="2:50" ht="23.1" customHeight="1" x14ac:dyDescent="0.3">
      <c r="B119" s="319"/>
      <c r="C119" s="320"/>
      <c r="D119" s="320"/>
      <c r="E119" s="320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1"/>
      <c r="AK119" s="291"/>
      <c r="AL119" s="291"/>
      <c r="AM119" s="291"/>
      <c r="AN119" s="291"/>
      <c r="AO119" s="291"/>
      <c r="AP119" s="291"/>
      <c r="AQ119" s="291"/>
      <c r="AR119" s="291"/>
      <c r="AS119" s="291"/>
      <c r="AT119" s="291"/>
      <c r="AU119" s="291"/>
      <c r="AV119" s="291"/>
      <c r="AW119" s="291"/>
      <c r="AX119" s="291"/>
    </row>
    <row r="120" spans="2:50" ht="23.1" customHeight="1" x14ac:dyDescent="0.3">
      <c r="B120" s="319"/>
      <c r="C120" s="320"/>
      <c r="D120" s="320"/>
      <c r="E120" s="320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S120" s="291"/>
      <c r="T120" s="291"/>
      <c r="U120" s="291"/>
      <c r="V120" s="291"/>
      <c r="W120" s="291"/>
      <c r="X120" s="291"/>
      <c r="Y120" s="291"/>
      <c r="Z120" s="291"/>
      <c r="AA120" s="291"/>
      <c r="AB120" s="291"/>
      <c r="AC120" s="291"/>
      <c r="AD120" s="291"/>
      <c r="AE120" s="291"/>
      <c r="AF120" s="291"/>
      <c r="AG120" s="291"/>
      <c r="AH120" s="291"/>
      <c r="AI120" s="291"/>
      <c r="AJ120" s="291"/>
      <c r="AK120" s="291"/>
      <c r="AL120" s="291"/>
      <c r="AM120" s="291"/>
      <c r="AN120" s="291"/>
      <c r="AO120" s="291"/>
      <c r="AP120" s="291"/>
      <c r="AQ120" s="291"/>
      <c r="AR120" s="291"/>
      <c r="AS120" s="291"/>
      <c r="AT120" s="291"/>
      <c r="AU120" s="291"/>
      <c r="AV120" s="291"/>
      <c r="AW120" s="291"/>
      <c r="AX120" s="291"/>
    </row>
    <row r="121" spans="2:50" ht="23.1" customHeight="1" x14ac:dyDescent="0.3">
      <c r="B121" s="319"/>
      <c r="C121" s="320"/>
      <c r="D121" s="320"/>
      <c r="E121" s="320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  <c r="AI121" s="291"/>
      <c r="AJ121" s="291"/>
      <c r="AK121" s="291"/>
      <c r="AL121" s="291"/>
      <c r="AM121" s="291"/>
      <c r="AN121" s="291"/>
      <c r="AO121" s="291"/>
      <c r="AP121" s="291"/>
      <c r="AQ121" s="291"/>
      <c r="AR121" s="291"/>
      <c r="AS121" s="291"/>
      <c r="AT121" s="291"/>
      <c r="AU121" s="291"/>
      <c r="AV121" s="291"/>
      <c r="AW121" s="291"/>
      <c r="AX121" s="291"/>
    </row>
    <row r="122" spans="2:50" ht="23.1" customHeight="1" x14ac:dyDescent="0.3">
      <c r="B122" s="319"/>
      <c r="C122" s="320"/>
      <c r="D122" s="320"/>
      <c r="E122" s="320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  <c r="AI122" s="291"/>
      <c r="AJ122" s="291"/>
      <c r="AK122" s="291"/>
      <c r="AL122" s="291"/>
      <c r="AM122" s="291"/>
      <c r="AN122" s="291"/>
      <c r="AO122" s="291"/>
      <c r="AP122" s="291"/>
      <c r="AQ122" s="291"/>
      <c r="AR122" s="291"/>
      <c r="AS122" s="291"/>
      <c r="AT122" s="291"/>
      <c r="AU122" s="291"/>
      <c r="AV122" s="291"/>
      <c r="AW122" s="291"/>
      <c r="AX122" s="291"/>
    </row>
    <row r="123" spans="2:50" ht="23.1" customHeight="1" x14ac:dyDescent="0.3">
      <c r="B123" s="319"/>
      <c r="C123" s="320"/>
      <c r="D123" s="320"/>
      <c r="E123" s="320"/>
      <c r="F123" s="291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/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1"/>
      <c r="AK123" s="291"/>
      <c r="AL123" s="291"/>
      <c r="AM123" s="291"/>
      <c r="AN123" s="291"/>
      <c r="AO123" s="291"/>
      <c r="AP123" s="291"/>
      <c r="AQ123" s="291"/>
      <c r="AR123" s="291"/>
      <c r="AS123" s="291"/>
      <c r="AT123" s="291"/>
      <c r="AU123" s="291"/>
      <c r="AV123" s="291"/>
      <c r="AW123" s="291"/>
      <c r="AX123" s="291"/>
    </row>
    <row r="124" spans="2:50" ht="23.1" customHeight="1" x14ac:dyDescent="0.3">
      <c r="B124" s="319"/>
      <c r="C124" s="320"/>
      <c r="D124" s="320"/>
      <c r="E124" s="320"/>
      <c r="F124" s="291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1"/>
      <c r="T124" s="291"/>
      <c r="U124" s="291"/>
      <c r="V124" s="291"/>
      <c r="W124" s="291"/>
      <c r="X124" s="291"/>
      <c r="Y124" s="291"/>
      <c r="Z124" s="291"/>
      <c r="AA124" s="291"/>
      <c r="AB124" s="291"/>
      <c r="AC124" s="291"/>
      <c r="AD124" s="291"/>
      <c r="AE124" s="291"/>
      <c r="AF124" s="291"/>
      <c r="AG124" s="291"/>
      <c r="AH124" s="291"/>
      <c r="AI124" s="291"/>
      <c r="AJ124" s="291"/>
      <c r="AK124" s="291"/>
      <c r="AL124" s="291"/>
      <c r="AM124" s="291"/>
      <c r="AN124" s="291"/>
      <c r="AO124" s="291"/>
      <c r="AP124" s="291"/>
      <c r="AQ124" s="291"/>
      <c r="AR124" s="291"/>
      <c r="AS124" s="291"/>
      <c r="AT124" s="291"/>
      <c r="AU124" s="291"/>
      <c r="AV124" s="291"/>
      <c r="AW124" s="291"/>
      <c r="AX124" s="291"/>
    </row>
    <row r="125" spans="2:50" ht="23.1" customHeight="1" x14ac:dyDescent="0.3">
      <c r="B125" s="319"/>
      <c r="C125" s="320"/>
      <c r="D125" s="320"/>
      <c r="E125" s="320"/>
      <c r="F125" s="291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1"/>
      <c r="AK125" s="291"/>
      <c r="AL125" s="291"/>
      <c r="AM125" s="291"/>
      <c r="AN125" s="291"/>
      <c r="AO125" s="291"/>
      <c r="AP125" s="291"/>
      <c r="AQ125" s="291"/>
      <c r="AR125" s="291"/>
      <c r="AS125" s="291"/>
      <c r="AT125" s="291"/>
      <c r="AU125" s="291"/>
      <c r="AV125" s="291"/>
      <c r="AW125" s="291"/>
      <c r="AX125" s="291"/>
    </row>
    <row r="126" spans="2:50" ht="23.1" customHeight="1" x14ac:dyDescent="0.3">
      <c r="B126" s="319"/>
      <c r="C126" s="320"/>
      <c r="D126" s="320"/>
      <c r="E126" s="320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1"/>
      <c r="AK126" s="291"/>
      <c r="AL126" s="291"/>
      <c r="AM126" s="291"/>
      <c r="AN126" s="291"/>
      <c r="AO126" s="291"/>
      <c r="AP126" s="291"/>
      <c r="AQ126" s="291"/>
      <c r="AR126" s="291"/>
      <c r="AS126" s="291"/>
      <c r="AT126" s="291"/>
      <c r="AU126" s="291"/>
      <c r="AV126" s="291"/>
      <c r="AW126" s="291"/>
      <c r="AX126" s="291"/>
    </row>
    <row r="127" spans="2:50" ht="23.1" customHeight="1" x14ac:dyDescent="0.3">
      <c r="B127" s="319"/>
      <c r="C127" s="320"/>
      <c r="D127" s="320"/>
      <c r="E127" s="320"/>
      <c r="F127" s="291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1"/>
      <c r="Y127" s="291"/>
      <c r="Z127" s="291"/>
      <c r="AA127" s="291"/>
      <c r="AB127" s="291"/>
      <c r="AC127" s="291"/>
      <c r="AD127" s="291"/>
      <c r="AE127" s="291"/>
      <c r="AF127" s="291"/>
      <c r="AG127" s="291"/>
      <c r="AH127" s="291"/>
      <c r="AI127" s="291"/>
      <c r="AJ127" s="291"/>
      <c r="AK127" s="291"/>
      <c r="AL127" s="291"/>
      <c r="AM127" s="291"/>
      <c r="AN127" s="291"/>
      <c r="AO127" s="291"/>
      <c r="AP127" s="291"/>
      <c r="AQ127" s="291"/>
      <c r="AR127" s="291"/>
      <c r="AS127" s="291"/>
      <c r="AT127" s="291"/>
      <c r="AU127" s="291"/>
      <c r="AV127" s="291"/>
      <c r="AW127" s="291"/>
      <c r="AX127" s="291"/>
    </row>
    <row r="128" spans="2:50" ht="23.1" customHeight="1" x14ac:dyDescent="0.3">
      <c r="B128" s="319"/>
      <c r="C128" s="320"/>
      <c r="D128" s="320"/>
      <c r="E128" s="320"/>
      <c r="F128" s="291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1"/>
      <c r="Y128" s="291"/>
      <c r="Z128" s="291"/>
      <c r="AA128" s="291"/>
      <c r="AB128" s="291"/>
      <c r="AC128" s="291"/>
      <c r="AD128" s="291"/>
      <c r="AE128" s="291"/>
      <c r="AF128" s="291"/>
      <c r="AG128" s="291"/>
      <c r="AH128" s="291"/>
      <c r="AI128" s="291"/>
      <c r="AJ128" s="291"/>
      <c r="AK128" s="291"/>
      <c r="AL128" s="291"/>
      <c r="AM128" s="291"/>
      <c r="AN128" s="291"/>
      <c r="AO128" s="291"/>
      <c r="AP128" s="291"/>
      <c r="AQ128" s="291"/>
      <c r="AR128" s="291"/>
      <c r="AS128" s="291"/>
      <c r="AT128" s="291"/>
      <c r="AU128" s="291"/>
      <c r="AV128" s="291"/>
      <c r="AW128" s="291"/>
      <c r="AX128" s="291"/>
    </row>
    <row r="129" spans="2:50" ht="23.1" customHeight="1" x14ac:dyDescent="0.3">
      <c r="B129" s="319"/>
      <c r="C129" s="320"/>
      <c r="D129" s="320"/>
      <c r="E129" s="320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291"/>
      <c r="AI129" s="291"/>
      <c r="AJ129" s="291"/>
      <c r="AK129" s="291"/>
      <c r="AL129" s="291"/>
      <c r="AM129" s="291"/>
      <c r="AN129" s="291"/>
      <c r="AO129" s="291"/>
      <c r="AP129" s="291"/>
      <c r="AQ129" s="291"/>
      <c r="AR129" s="291"/>
      <c r="AS129" s="291"/>
      <c r="AT129" s="291"/>
      <c r="AU129" s="291"/>
      <c r="AV129" s="291"/>
      <c r="AW129" s="291"/>
      <c r="AX129" s="291"/>
    </row>
    <row r="130" spans="2:50" ht="23.1" customHeight="1" x14ac:dyDescent="0.3">
      <c r="B130" s="319"/>
      <c r="C130" s="320"/>
      <c r="D130" s="320"/>
      <c r="E130" s="320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1"/>
      <c r="Y130" s="291"/>
      <c r="Z130" s="291"/>
      <c r="AA130" s="291"/>
      <c r="AB130" s="291"/>
      <c r="AC130" s="291"/>
      <c r="AD130" s="291"/>
      <c r="AE130" s="291"/>
      <c r="AF130" s="291"/>
      <c r="AG130" s="291"/>
      <c r="AH130" s="291"/>
      <c r="AI130" s="291"/>
      <c r="AJ130" s="291"/>
      <c r="AK130" s="291"/>
      <c r="AL130" s="291"/>
      <c r="AM130" s="291"/>
      <c r="AN130" s="291"/>
      <c r="AO130" s="291"/>
      <c r="AP130" s="291"/>
      <c r="AQ130" s="291"/>
      <c r="AR130" s="291"/>
      <c r="AS130" s="291"/>
      <c r="AT130" s="291"/>
      <c r="AU130" s="291"/>
      <c r="AV130" s="291"/>
      <c r="AW130" s="291"/>
      <c r="AX130" s="291"/>
    </row>
    <row r="131" spans="2:50" ht="23.1" customHeight="1" x14ac:dyDescent="0.3">
      <c r="B131" s="319"/>
      <c r="C131" s="320"/>
      <c r="D131" s="320"/>
      <c r="E131" s="320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1"/>
      <c r="Y131" s="291"/>
      <c r="Z131" s="291"/>
      <c r="AA131" s="291"/>
      <c r="AB131" s="291"/>
      <c r="AC131" s="291"/>
      <c r="AD131" s="291"/>
      <c r="AE131" s="291"/>
      <c r="AF131" s="291"/>
      <c r="AG131" s="291"/>
      <c r="AH131" s="291"/>
      <c r="AI131" s="291"/>
      <c r="AJ131" s="291"/>
      <c r="AK131" s="291"/>
      <c r="AL131" s="291"/>
      <c r="AM131" s="291"/>
      <c r="AN131" s="291"/>
      <c r="AO131" s="291"/>
      <c r="AP131" s="291"/>
      <c r="AQ131" s="291"/>
      <c r="AR131" s="291"/>
      <c r="AS131" s="291"/>
      <c r="AT131" s="291"/>
      <c r="AU131" s="291"/>
      <c r="AV131" s="291"/>
      <c r="AW131" s="291"/>
      <c r="AX131" s="291"/>
    </row>
    <row r="132" spans="2:50" ht="23.1" customHeight="1" x14ac:dyDescent="0.3">
      <c r="B132" s="319"/>
      <c r="C132" s="320"/>
      <c r="D132" s="320"/>
      <c r="E132" s="320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1"/>
      <c r="AA132" s="291"/>
      <c r="AB132" s="291"/>
      <c r="AC132" s="291"/>
      <c r="AD132" s="291"/>
      <c r="AE132" s="291"/>
      <c r="AF132" s="291"/>
      <c r="AG132" s="291"/>
      <c r="AH132" s="291"/>
      <c r="AI132" s="291"/>
      <c r="AJ132" s="291"/>
      <c r="AK132" s="291"/>
      <c r="AL132" s="291"/>
      <c r="AM132" s="291"/>
      <c r="AN132" s="291"/>
      <c r="AO132" s="291"/>
      <c r="AP132" s="291"/>
      <c r="AQ132" s="291"/>
      <c r="AR132" s="291"/>
      <c r="AS132" s="291"/>
      <c r="AT132" s="291"/>
      <c r="AU132" s="291"/>
      <c r="AV132" s="291"/>
      <c r="AW132" s="291"/>
      <c r="AX132" s="291"/>
    </row>
    <row r="133" spans="2:50" ht="23.1" customHeight="1" x14ac:dyDescent="0.3">
      <c r="B133" s="319"/>
      <c r="C133" s="320"/>
      <c r="D133" s="320"/>
      <c r="E133" s="320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1"/>
      <c r="AA133" s="291"/>
      <c r="AB133" s="291"/>
      <c r="AC133" s="291"/>
      <c r="AD133" s="291"/>
      <c r="AE133" s="291"/>
      <c r="AF133" s="291"/>
      <c r="AG133" s="291"/>
      <c r="AH133" s="291"/>
      <c r="AI133" s="291"/>
      <c r="AJ133" s="291"/>
      <c r="AK133" s="291"/>
      <c r="AL133" s="291"/>
      <c r="AM133" s="291"/>
      <c r="AN133" s="291"/>
      <c r="AO133" s="291"/>
      <c r="AP133" s="291"/>
      <c r="AQ133" s="291"/>
      <c r="AR133" s="291"/>
      <c r="AS133" s="291"/>
      <c r="AT133" s="291"/>
      <c r="AU133" s="291"/>
      <c r="AV133" s="291"/>
      <c r="AW133" s="291"/>
      <c r="AX133" s="291"/>
    </row>
    <row r="134" spans="2:50" ht="23.1" customHeight="1" x14ac:dyDescent="0.3">
      <c r="B134" s="319"/>
      <c r="C134" s="320"/>
      <c r="D134" s="320"/>
      <c r="E134" s="320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1"/>
      <c r="Y134" s="291"/>
      <c r="Z134" s="291"/>
      <c r="AA134" s="291"/>
      <c r="AB134" s="291"/>
      <c r="AC134" s="291"/>
      <c r="AD134" s="291"/>
      <c r="AE134" s="291"/>
      <c r="AF134" s="291"/>
      <c r="AG134" s="291"/>
      <c r="AH134" s="291"/>
      <c r="AI134" s="291"/>
      <c r="AJ134" s="291"/>
      <c r="AK134" s="291"/>
      <c r="AL134" s="291"/>
      <c r="AM134" s="291"/>
      <c r="AN134" s="291"/>
      <c r="AO134" s="291"/>
      <c r="AP134" s="291"/>
      <c r="AQ134" s="291"/>
      <c r="AR134" s="291"/>
      <c r="AS134" s="291"/>
      <c r="AT134" s="291"/>
      <c r="AU134" s="291"/>
      <c r="AV134" s="291"/>
      <c r="AW134" s="291"/>
      <c r="AX134" s="291"/>
    </row>
    <row r="135" spans="2:50" ht="23.1" customHeight="1" x14ac:dyDescent="0.3">
      <c r="B135" s="319"/>
      <c r="C135" s="320"/>
      <c r="D135" s="320"/>
      <c r="E135" s="320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1"/>
      <c r="AA135" s="291"/>
      <c r="AB135" s="291"/>
      <c r="AC135" s="291"/>
      <c r="AD135" s="291"/>
      <c r="AE135" s="291"/>
      <c r="AF135" s="291"/>
      <c r="AG135" s="291"/>
      <c r="AH135" s="291"/>
      <c r="AI135" s="291"/>
      <c r="AJ135" s="291"/>
      <c r="AK135" s="291"/>
      <c r="AL135" s="291"/>
      <c r="AM135" s="291"/>
      <c r="AN135" s="291"/>
      <c r="AO135" s="291"/>
      <c r="AP135" s="291"/>
      <c r="AQ135" s="291"/>
      <c r="AR135" s="291"/>
      <c r="AS135" s="291"/>
      <c r="AT135" s="291"/>
      <c r="AU135" s="291"/>
      <c r="AV135" s="291"/>
      <c r="AW135" s="291"/>
      <c r="AX135" s="291"/>
    </row>
    <row r="136" spans="2:50" ht="23.1" customHeight="1" x14ac:dyDescent="0.3">
      <c r="B136" s="319"/>
      <c r="C136" s="320"/>
      <c r="D136" s="320"/>
      <c r="E136" s="320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291"/>
      <c r="AI136" s="291"/>
      <c r="AJ136" s="291"/>
      <c r="AK136" s="291"/>
      <c r="AL136" s="291"/>
      <c r="AM136" s="291"/>
      <c r="AN136" s="291"/>
      <c r="AO136" s="291"/>
      <c r="AP136" s="291"/>
      <c r="AQ136" s="291"/>
      <c r="AR136" s="291"/>
      <c r="AS136" s="291"/>
      <c r="AT136" s="291"/>
      <c r="AU136" s="291"/>
      <c r="AV136" s="291"/>
      <c r="AW136" s="291"/>
      <c r="AX136" s="291"/>
    </row>
    <row r="137" spans="2:50" ht="23.1" customHeight="1" x14ac:dyDescent="0.3">
      <c r="B137" s="319"/>
      <c r="C137" s="320"/>
      <c r="D137" s="320"/>
      <c r="E137" s="320"/>
      <c r="F137" s="291"/>
      <c r="G137" s="291"/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1"/>
      <c r="T137" s="291"/>
      <c r="U137" s="291"/>
      <c r="V137" s="291"/>
      <c r="W137" s="291"/>
      <c r="X137" s="291"/>
      <c r="Y137" s="291"/>
      <c r="Z137" s="291"/>
      <c r="AA137" s="291"/>
      <c r="AB137" s="291"/>
      <c r="AC137" s="291"/>
      <c r="AD137" s="291"/>
      <c r="AE137" s="291"/>
      <c r="AF137" s="291"/>
      <c r="AG137" s="291"/>
      <c r="AH137" s="291"/>
      <c r="AI137" s="291"/>
      <c r="AJ137" s="291"/>
      <c r="AK137" s="291"/>
      <c r="AL137" s="291"/>
      <c r="AM137" s="291"/>
      <c r="AN137" s="291"/>
      <c r="AO137" s="291"/>
      <c r="AP137" s="291"/>
      <c r="AQ137" s="291"/>
      <c r="AR137" s="291"/>
      <c r="AS137" s="291"/>
      <c r="AT137" s="291"/>
      <c r="AU137" s="291"/>
      <c r="AV137" s="291"/>
      <c r="AW137" s="291"/>
      <c r="AX137" s="291"/>
    </row>
    <row r="138" spans="2:50" ht="23.1" customHeight="1" x14ac:dyDescent="0.3">
      <c r="B138" s="319"/>
      <c r="C138" s="320"/>
      <c r="D138" s="320"/>
      <c r="E138" s="320"/>
      <c r="F138" s="291"/>
      <c r="G138" s="291"/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S138" s="291"/>
      <c r="T138" s="291"/>
      <c r="U138" s="291"/>
      <c r="V138" s="291"/>
      <c r="W138" s="291"/>
      <c r="X138" s="291"/>
      <c r="Y138" s="291"/>
      <c r="Z138" s="291"/>
      <c r="AA138" s="291"/>
      <c r="AB138" s="291"/>
      <c r="AC138" s="291"/>
      <c r="AD138" s="291"/>
      <c r="AE138" s="291"/>
      <c r="AF138" s="291"/>
      <c r="AG138" s="291"/>
      <c r="AH138" s="291"/>
      <c r="AI138" s="291"/>
      <c r="AJ138" s="291"/>
      <c r="AK138" s="291"/>
      <c r="AL138" s="291"/>
      <c r="AM138" s="291"/>
      <c r="AN138" s="291"/>
      <c r="AO138" s="291"/>
      <c r="AP138" s="291"/>
      <c r="AQ138" s="291"/>
      <c r="AR138" s="291"/>
      <c r="AS138" s="291"/>
      <c r="AT138" s="291"/>
      <c r="AU138" s="291"/>
      <c r="AV138" s="291"/>
      <c r="AW138" s="291"/>
      <c r="AX138" s="291"/>
    </row>
    <row r="139" spans="2:50" ht="23.1" customHeight="1" x14ac:dyDescent="0.3">
      <c r="B139" s="319"/>
      <c r="C139" s="320"/>
      <c r="D139" s="320"/>
      <c r="E139" s="320"/>
      <c r="F139" s="291"/>
      <c r="G139" s="291"/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S139" s="291"/>
      <c r="T139" s="291"/>
      <c r="U139" s="291"/>
      <c r="V139" s="291"/>
      <c r="W139" s="291"/>
      <c r="X139" s="291"/>
      <c r="Y139" s="291"/>
      <c r="Z139" s="291"/>
      <c r="AA139" s="291"/>
      <c r="AB139" s="291"/>
      <c r="AC139" s="291"/>
      <c r="AD139" s="291"/>
      <c r="AE139" s="291"/>
      <c r="AF139" s="291"/>
      <c r="AG139" s="291"/>
      <c r="AH139" s="291"/>
      <c r="AI139" s="291"/>
      <c r="AJ139" s="291"/>
      <c r="AK139" s="291"/>
      <c r="AL139" s="291"/>
      <c r="AM139" s="291"/>
      <c r="AN139" s="291"/>
      <c r="AO139" s="291"/>
      <c r="AP139" s="291"/>
      <c r="AQ139" s="291"/>
      <c r="AR139" s="291"/>
      <c r="AS139" s="291"/>
      <c r="AT139" s="291"/>
      <c r="AU139" s="291"/>
      <c r="AV139" s="291"/>
      <c r="AW139" s="291"/>
      <c r="AX139" s="291"/>
    </row>
    <row r="140" spans="2:50" ht="23.1" customHeight="1" x14ac:dyDescent="0.3">
      <c r="B140" s="319"/>
      <c r="C140" s="320"/>
      <c r="D140" s="320"/>
      <c r="E140" s="320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S140" s="291"/>
      <c r="T140" s="291"/>
      <c r="U140" s="291"/>
      <c r="V140" s="291"/>
      <c r="W140" s="291"/>
      <c r="X140" s="291"/>
      <c r="Y140" s="291"/>
      <c r="Z140" s="291"/>
      <c r="AA140" s="291"/>
      <c r="AB140" s="291"/>
      <c r="AC140" s="291"/>
      <c r="AD140" s="291"/>
      <c r="AE140" s="291"/>
      <c r="AF140" s="291"/>
      <c r="AG140" s="291"/>
      <c r="AH140" s="291"/>
      <c r="AI140" s="291"/>
      <c r="AJ140" s="291"/>
      <c r="AK140" s="291"/>
      <c r="AL140" s="291"/>
      <c r="AM140" s="291"/>
      <c r="AN140" s="291"/>
      <c r="AO140" s="291"/>
      <c r="AP140" s="291"/>
      <c r="AQ140" s="291"/>
      <c r="AR140" s="291"/>
      <c r="AS140" s="291"/>
      <c r="AT140" s="291"/>
      <c r="AU140" s="291"/>
      <c r="AV140" s="291"/>
      <c r="AW140" s="291"/>
      <c r="AX140" s="291"/>
    </row>
    <row r="141" spans="2:50" ht="23.1" customHeight="1" x14ac:dyDescent="0.3">
      <c r="B141" s="319"/>
      <c r="C141" s="320"/>
      <c r="D141" s="320"/>
      <c r="E141" s="320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S141" s="291"/>
      <c r="T141" s="291"/>
      <c r="U141" s="291"/>
      <c r="V141" s="291"/>
      <c r="W141" s="291"/>
      <c r="X141" s="291"/>
      <c r="Y141" s="291"/>
      <c r="Z141" s="291"/>
      <c r="AA141" s="291"/>
      <c r="AB141" s="291"/>
      <c r="AC141" s="291"/>
      <c r="AD141" s="291"/>
      <c r="AE141" s="291"/>
      <c r="AF141" s="291"/>
      <c r="AG141" s="291"/>
      <c r="AH141" s="291"/>
      <c r="AI141" s="291"/>
      <c r="AJ141" s="291"/>
      <c r="AK141" s="291"/>
      <c r="AL141" s="291"/>
      <c r="AM141" s="291"/>
      <c r="AN141" s="291"/>
      <c r="AO141" s="291"/>
      <c r="AP141" s="291"/>
      <c r="AQ141" s="291"/>
      <c r="AR141" s="291"/>
      <c r="AS141" s="291"/>
      <c r="AT141" s="291"/>
      <c r="AU141" s="291"/>
      <c r="AV141" s="291"/>
      <c r="AW141" s="291"/>
      <c r="AX141" s="291"/>
    </row>
    <row r="142" spans="2:50" ht="23.1" customHeight="1" x14ac:dyDescent="0.3">
      <c r="B142" s="319"/>
      <c r="C142" s="320"/>
      <c r="D142" s="320"/>
      <c r="E142" s="320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S142" s="291"/>
      <c r="T142" s="291"/>
      <c r="U142" s="291"/>
      <c r="V142" s="291"/>
      <c r="W142" s="291"/>
      <c r="X142" s="291"/>
      <c r="Y142" s="291"/>
      <c r="Z142" s="291"/>
      <c r="AA142" s="291"/>
      <c r="AB142" s="291"/>
      <c r="AC142" s="291"/>
      <c r="AD142" s="291"/>
      <c r="AE142" s="291"/>
      <c r="AF142" s="291"/>
      <c r="AG142" s="291"/>
      <c r="AH142" s="291"/>
      <c r="AI142" s="291"/>
      <c r="AJ142" s="291"/>
      <c r="AK142" s="291"/>
      <c r="AL142" s="291"/>
      <c r="AM142" s="291"/>
      <c r="AN142" s="291"/>
      <c r="AO142" s="291"/>
      <c r="AP142" s="291"/>
      <c r="AQ142" s="291"/>
      <c r="AR142" s="291"/>
      <c r="AS142" s="291"/>
      <c r="AT142" s="291"/>
      <c r="AU142" s="291"/>
      <c r="AV142" s="291"/>
      <c r="AW142" s="291"/>
      <c r="AX142" s="291"/>
    </row>
    <row r="143" spans="2:50" ht="23.1" customHeight="1" x14ac:dyDescent="0.3">
      <c r="B143" s="319"/>
      <c r="C143" s="320"/>
      <c r="D143" s="320"/>
      <c r="E143" s="320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1"/>
      <c r="Y143" s="291"/>
      <c r="Z143" s="291"/>
      <c r="AA143" s="291"/>
      <c r="AB143" s="291"/>
      <c r="AC143" s="291"/>
      <c r="AD143" s="291"/>
      <c r="AE143" s="291"/>
      <c r="AF143" s="291"/>
      <c r="AG143" s="291"/>
      <c r="AH143" s="291"/>
      <c r="AI143" s="291"/>
      <c r="AJ143" s="291"/>
      <c r="AK143" s="291"/>
      <c r="AL143" s="291"/>
      <c r="AM143" s="291"/>
      <c r="AN143" s="291"/>
      <c r="AO143" s="291"/>
      <c r="AP143" s="291"/>
      <c r="AQ143" s="291"/>
      <c r="AR143" s="291"/>
      <c r="AS143" s="291"/>
      <c r="AT143" s="291"/>
      <c r="AU143" s="291"/>
      <c r="AV143" s="291"/>
      <c r="AW143" s="291"/>
      <c r="AX143" s="291"/>
    </row>
    <row r="144" spans="2:50" ht="23.1" customHeight="1" x14ac:dyDescent="0.3">
      <c r="B144" s="319"/>
      <c r="C144" s="320"/>
      <c r="D144" s="320"/>
      <c r="E144" s="320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1"/>
      <c r="Y144" s="291"/>
      <c r="Z144" s="291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1"/>
      <c r="AL144" s="291"/>
      <c r="AM144" s="291"/>
      <c r="AN144" s="291"/>
      <c r="AO144" s="291"/>
      <c r="AP144" s="291"/>
      <c r="AQ144" s="291"/>
      <c r="AR144" s="291"/>
      <c r="AS144" s="291"/>
      <c r="AT144" s="291"/>
      <c r="AU144" s="291"/>
      <c r="AV144" s="291"/>
      <c r="AW144" s="291"/>
      <c r="AX144" s="291"/>
    </row>
    <row r="145" spans="2:50" ht="23.1" customHeight="1" x14ac:dyDescent="0.3">
      <c r="B145" s="319"/>
      <c r="C145" s="320"/>
      <c r="D145" s="320"/>
      <c r="E145" s="320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1"/>
      <c r="Y145" s="291"/>
      <c r="Z145" s="291"/>
      <c r="AA145" s="291"/>
      <c r="AB145" s="291"/>
      <c r="AC145" s="291"/>
      <c r="AD145" s="291"/>
      <c r="AE145" s="291"/>
      <c r="AF145" s="291"/>
      <c r="AG145" s="291"/>
      <c r="AH145" s="291"/>
      <c r="AI145" s="291"/>
      <c r="AJ145" s="291"/>
      <c r="AK145" s="291"/>
      <c r="AL145" s="291"/>
      <c r="AM145" s="291"/>
      <c r="AN145" s="291"/>
      <c r="AO145" s="291"/>
      <c r="AP145" s="291"/>
      <c r="AQ145" s="291"/>
      <c r="AR145" s="291"/>
      <c r="AS145" s="291"/>
      <c r="AT145" s="291"/>
      <c r="AU145" s="291"/>
      <c r="AV145" s="291"/>
      <c r="AW145" s="291"/>
      <c r="AX145" s="291"/>
    </row>
    <row r="146" spans="2:50" ht="23.1" customHeight="1" x14ac:dyDescent="0.3">
      <c r="B146" s="319"/>
      <c r="C146" s="320"/>
      <c r="D146" s="320"/>
      <c r="E146" s="320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1"/>
      <c r="Y146" s="291"/>
      <c r="Z146" s="291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1"/>
      <c r="AL146" s="291"/>
      <c r="AM146" s="291"/>
      <c r="AN146" s="291"/>
      <c r="AO146" s="291"/>
      <c r="AP146" s="291"/>
      <c r="AQ146" s="291"/>
      <c r="AR146" s="291"/>
      <c r="AS146" s="291"/>
      <c r="AT146" s="291"/>
      <c r="AU146" s="291"/>
      <c r="AV146" s="291"/>
      <c r="AW146" s="291"/>
      <c r="AX146" s="291"/>
    </row>
    <row r="147" spans="2:50" ht="23.1" customHeight="1" x14ac:dyDescent="0.3">
      <c r="B147" s="319"/>
      <c r="C147" s="320"/>
      <c r="D147" s="320"/>
      <c r="E147" s="320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1"/>
      <c r="Y147" s="291"/>
      <c r="Z147" s="291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1"/>
      <c r="AL147" s="291"/>
      <c r="AM147" s="291"/>
      <c r="AN147" s="291"/>
      <c r="AO147" s="291"/>
      <c r="AP147" s="291"/>
      <c r="AQ147" s="291"/>
      <c r="AR147" s="291"/>
      <c r="AS147" s="291"/>
      <c r="AT147" s="291"/>
      <c r="AU147" s="291"/>
      <c r="AV147" s="291"/>
      <c r="AW147" s="291"/>
      <c r="AX147" s="291"/>
    </row>
    <row r="148" spans="2:50" ht="23.1" customHeight="1" x14ac:dyDescent="0.3">
      <c r="B148" s="319"/>
      <c r="C148" s="320"/>
      <c r="D148" s="320"/>
      <c r="E148" s="320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1"/>
      <c r="Y148" s="291"/>
      <c r="Z148" s="291"/>
      <c r="AA148" s="291"/>
      <c r="AB148" s="291"/>
      <c r="AC148" s="291"/>
      <c r="AD148" s="291"/>
      <c r="AE148" s="291"/>
      <c r="AF148" s="291"/>
      <c r="AG148" s="291"/>
      <c r="AH148" s="291"/>
      <c r="AI148" s="291"/>
      <c r="AJ148" s="291"/>
      <c r="AK148" s="291"/>
      <c r="AL148" s="291"/>
      <c r="AM148" s="291"/>
      <c r="AN148" s="291"/>
      <c r="AO148" s="291"/>
      <c r="AP148" s="291"/>
      <c r="AQ148" s="291"/>
      <c r="AR148" s="291"/>
      <c r="AS148" s="291"/>
      <c r="AT148" s="291"/>
      <c r="AU148" s="291"/>
      <c r="AV148" s="291"/>
      <c r="AW148" s="291"/>
      <c r="AX148" s="291"/>
    </row>
    <row r="149" spans="2:50" ht="23.1" customHeight="1" x14ac:dyDescent="0.3">
      <c r="B149" s="319"/>
      <c r="C149" s="320"/>
      <c r="D149" s="320"/>
      <c r="E149" s="320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1"/>
      <c r="Y149" s="291"/>
      <c r="Z149" s="291"/>
      <c r="AA149" s="291"/>
      <c r="AB149" s="291"/>
      <c r="AC149" s="291"/>
      <c r="AD149" s="291"/>
      <c r="AE149" s="291"/>
      <c r="AF149" s="291"/>
      <c r="AG149" s="291"/>
      <c r="AH149" s="291"/>
      <c r="AI149" s="291"/>
      <c r="AJ149" s="291"/>
      <c r="AK149" s="291"/>
      <c r="AL149" s="291"/>
      <c r="AM149" s="291"/>
      <c r="AN149" s="291"/>
      <c r="AO149" s="291"/>
      <c r="AP149" s="291"/>
      <c r="AQ149" s="291"/>
      <c r="AR149" s="291"/>
      <c r="AS149" s="291"/>
      <c r="AT149" s="291"/>
      <c r="AU149" s="291"/>
      <c r="AV149" s="291"/>
      <c r="AW149" s="291"/>
      <c r="AX149" s="291"/>
    </row>
    <row r="150" spans="2:50" ht="23.1" customHeight="1" x14ac:dyDescent="0.3">
      <c r="B150" s="319"/>
      <c r="C150" s="320"/>
      <c r="D150" s="320"/>
      <c r="E150" s="320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1"/>
      <c r="Y150" s="291"/>
      <c r="Z150" s="291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1"/>
      <c r="AL150" s="291"/>
      <c r="AM150" s="291"/>
      <c r="AN150" s="291"/>
      <c r="AO150" s="291"/>
      <c r="AP150" s="291"/>
      <c r="AQ150" s="291"/>
      <c r="AR150" s="291"/>
      <c r="AS150" s="291"/>
      <c r="AT150" s="291"/>
      <c r="AU150" s="291"/>
      <c r="AV150" s="291"/>
      <c r="AW150" s="291"/>
      <c r="AX150" s="291"/>
    </row>
    <row r="151" spans="2:50" ht="23.1" customHeight="1" x14ac:dyDescent="0.3">
      <c r="B151" s="319"/>
      <c r="C151" s="320"/>
      <c r="D151" s="320"/>
      <c r="E151" s="320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1"/>
      <c r="AL151" s="291"/>
      <c r="AM151" s="291"/>
      <c r="AN151" s="291"/>
      <c r="AO151" s="291"/>
      <c r="AP151" s="291"/>
      <c r="AQ151" s="291"/>
      <c r="AR151" s="291"/>
      <c r="AS151" s="291"/>
      <c r="AT151" s="291"/>
      <c r="AU151" s="291"/>
      <c r="AV151" s="291"/>
      <c r="AW151" s="291"/>
      <c r="AX151" s="291"/>
    </row>
    <row r="152" spans="2:50" ht="23.1" customHeight="1" x14ac:dyDescent="0.3">
      <c r="B152" s="319"/>
      <c r="C152" s="320"/>
      <c r="D152" s="320"/>
      <c r="E152" s="320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  <c r="Z152" s="291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1"/>
      <c r="AL152" s="291"/>
      <c r="AM152" s="291"/>
      <c r="AN152" s="291"/>
      <c r="AO152" s="291"/>
      <c r="AP152" s="291"/>
      <c r="AQ152" s="291"/>
      <c r="AR152" s="291"/>
      <c r="AS152" s="291"/>
      <c r="AT152" s="291"/>
      <c r="AU152" s="291"/>
      <c r="AV152" s="291"/>
      <c r="AW152" s="291"/>
      <c r="AX152" s="291"/>
    </row>
    <row r="153" spans="2:50" ht="23.1" customHeight="1" x14ac:dyDescent="0.3">
      <c r="B153" s="319"/>
      <c r="C153" s="320"/>
      <c r="D153" s="320"/>
      <c r="E153" s="320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  <c r="AC153" s="291"/>
      <c r="AD153" s="291"/>
      <c r="AE153" s="291"/>
      <c r="AF153" s="291"/>
      <c r="AG153" s="291"/>
      <c r="AH153" s="291"/>
      <c r="AI153" s="291"/>
      <c r="AJ153" s="291"/>
      <c r="AK153" s="291"/>
      <c r="AL153" s="291"/>
      <c r="AM153" s="291"/>
      <c r="AN153" s="291"/>
      <c r="AO153" s="291"/>
      <c r="AP153" s="291"/>
      <c r="AQ153" s="291"/>
      <c r="AR153" s="291"/>
      <c r="AS153" s="291"/>
      <c r="AT153" s="291"/>
      <c r="AU153" s="291"/>
      <c r="AV153" s="291"/>
      <c r="AW153" s="291"/>
      <c r="AX153" s="291"/>
    </row>
    <row r="154" spans="2:50" ht="23.1" customHeight="1" x14ac:dyDescent="0.3">
      <c r="B154" s="319"/>
      <c r="C154" s="320"/>
      <c r="D154" s="320"/>
      <c r="E154" s="320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  <c r="Z154" s="291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1"/>
      <c r="AL154" s="291"/>
      <c r="AM154" s="291"/>
      <c r="AN154" s="291"/>
      <c r="AO154" s="291"/>
      <c r="AP154" s="291"/>
      <c r="AQ154" s="291"/>
      <c r="AR154" s="291"/>
      <c r="AS154" s="291"/>
      <c r="AT154" s="291"/>
      <c r="AU154" s="291"/>
      <c r="AV154" s="291"/>
      <c r="AW154" s="291"/>
      <c r="AX154" s="291"/>
    </row>
    <row r="155" spans="2:50" ht="23.1" customHeight="1" x14ac:dyDescent="0.3">
      <c r="B155" s="319"/>
      <c r="C155" s="320"/>
      <c r="D155" s="320"/>
      <c r="E155" s="320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291"/>
      <c r="AI155" s="291"/>
      <c r="AJ155" s="291"/>
      <c r="AK155" s="291"/>
      <c r="AL155" s="291"/>
      <c r="AM155" s="291"/>
      <c r="AN155" s="291"/>
      <c r="AO155" s="291"/>
      <c r="AP155" s="291"/>
      <c r="AQ155" s="291"/>
      <c r="AR155" s="291"/>
      <c r="AS155" s="291"/>
      <c r="AT155" s="291"/>
      <c r="AU155" s="291"/>
      <c r="AV155" s="291"/>
      <c r="AW155" s="291"/>
      <c r="AX155" s="291"/>
    </row>
    <row r="156" spans="2:50" ht="23.1" customHeight="1" x14ac:dyDescent="0.3">
      <c r="B156" s="319"/>
      <c r="C156" s="320"/>
      <c r="D156" s="320"/>
      <c r="E156" s="320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  <c r="Z156" s="291"/>
      <c r="AA156" s="291"/>
      <c r="AB156" s="291"/>
      <c r="AC156" s="291"/>
      <c r="AD156" s="291"/>
      <c r="AE156" s="291"/>
      <c r="AF156" s="291"/>
      <c r="AG156" s="291"/>
      <c r="AH156" s="291"/>
      <c r="AI156" s="291"/>
      <c r="AJ156" s="291"/>
      <c r="AK156" s="291"/>
      <c r="AL156" s="291"/>
      <c r="AM156" s="291"/>
      <c r="AN156" s="291"/>
      <c r="AO156" s="291"/>
      <c r="AP156" s="291"/>
      <c r="AQ156" s="291"/>
      <c r="AR156" s="291"/>
      <c r="AS156" s="291"/>
      <c r="AT156" s="291"/>
      <c r="AU156" s="291"/>
      <c r="AV156" s="291"/>
      <c r="AW156" s="291"/>
      <c r="AX156" s="291"/>
    </row>
    <row r="157" spans="2:50" ht="23.1" customHeight="1" x14ac:dyDescent="0.3">
      <c r="B157" s="319"/>
      <c r="C157" s="320"/>
      <c r="D157" s="320"/>
      <c r="E157" s="320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S157" s="291"/>
      <c r="T157" s="291"/>
      <c r="U157" s="291"/>
      <c r="V157" s="291"/>
      <c r="W157" s="291"/>
      <c r="X157" s="291"/>
      <c r="Y157" s="291"/>
      <c r="Z157" s="291"/>
      <c r="AA157" s="291"/>
      <c r="AB157" s="291"/>
      <c r="AC157" s="291"/>
      <c r="AD157" s="291"/>
      <c r="AE157" s="291"/>
      <c r="AF157" s="291"/>
      <c r="AG157" s="291"/>
      <c r="AH157" s="291"/>
      <c r="AI157" s="291"/>
      <c r="AJ157" s="291"/>
      <c r="AK157" s="291"/>
      <c r="AL157" s="291"/>
      <c r="AM157" s="291"/>
      <c r="AN157" s="291"/>
      <c r="AO157" s="291"/>
      <c r="AP157" s="291"/>
      <c r="AQ157" s="291"/>
      <c r="AR157" s="291"/>
      <c r="AS157" s="291"/>
      <c r="AT157" s="291"/>
      <c r="AU157" s="291"/>
      <c r="AV157" s="291"/>
      <c r="AW157" s="291"/>
      <c r="AX157" s="291"/>
    </row>
    <row r="158" spans="2:50" ht="23.1" customHeight="1" x14ac:dyDescent="0.3">
      <c r="B158" s="319"/>
      <c r="C158" s="320"/>
      <c r="D158" s="320"/>
      <c r="E158" s="320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1"/>
      <c r="AL158" s="291"/>
      <c r="AM158" s="291"/>
      <c r="AN158" s="291"/>
      <c r="AO158" s="291"/>
      <c r="AP158" s="291"/>
      <c r="AQ158" s="291"/>
      <c r="AR158" s="291"/>
      <c r="AS158" s="291"/>
      <c r="AT158" s="291"/>
      <c r="AU158" s="291"/>
      <c r="AV158" s="291"/>
      <c r="AW158" s="291"/>
      <c r="AX158" s="291"/>
    </row>
    <row r="159" spans="2:50" ht="23.1" customHeight="1" x14ac:dyDescent="0.3">
      <c r="B159" s="319"/>
      <c r="C159" s="320"/>
      <c r="D159" s="320"/>
      <c r="E159" s="320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S159" s="291"/>
      <c r="T159" s="291"/>
      <c r="U159" s="291"/>
      <c r="V159" s="291"/>
      <c r="W159" s="291"/>
      <c r="X159" s="291"/>
      <c r="Y159" s="291"/>
      <c r="Z159" s="291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1"/>
      <c r="AL159" s="291"/>
      <c r="AM159" s="291"/>
      <c r="AN159" s="291"/>
      <c r="AO159" s="291"/>
      <c r="AP159" s="291"/>
      <c r="AQ159" s="291"/>
      <c r="AR159" s="291"/>
      <c r="AS159" s="291"/>
      <c r="AT159" s="291"/>
      <c r="AU159" s="291"/>
      <c r="AV159" s="291"/>
      <c r="AW159" s="291"/>
      <c r="AX159" s="291"/>
    </row>
    <row r="160" spans="2:50" ht="23.1" customHeight="1" x14ac:dyDescent="0.3">
      <c r="B160" s="319"/>
      <c r="C160" s="320"/>
      <c r="D160" s="320"/>
      <c r="E160" s="320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  <c r="AC160" s="291"/>
      <c r="AD160" s="291"/>
      <c r="AE160" s="291"/>
      <c r="AF160" s="291"/>
      <c r="AG160" s="291"/>
      <c r="AH160" s="291"/>
      <c r="AI160" s="291"/>
      <c r="AJ160" s="291"/>
      <c r="AK160" s="291"/>
      <c r="AL160" s="291"/>
      <c r="AM160" s="291"/>
      <c r="AN160" s="291"/>
      <c r="AO160" s="291"/>
      <c r="AP160" s="291"/>
      <c r="AQ160" s="291"/>
      <c r="AR160" s="291"/>
      <c r="AS160" s="291"/>
      <c r="AT160" s="291"/>
      <c r="AU160" s="291"/>
      <c r="AV160" s="291"/>
      <c r="AW160" s="291"/>
      <c r="AX160" s="291"/>
    </row>
    <row r="161" spans="2:50" ht="23.1" customHeight="1" x14ac:dyDescent="0.3">
      <c r="B161" s="319"/>
      <c r="C161" s="320"/>
      <c r="D161" s="320"/>
      <c r="E161" s="320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S161" s="291"/>
      <c r="T161" s="291"/>
      <c r="U161" s="291"/>
      <c r="V161" s="291"/>
      <c r="W161" s="291"/>
      <c r="X161" s="291"/>
      <c r="Y161" s="291"/>
      <c r="Z161" s="291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1"/>
      <c r="AL161" s="291"/>
      <c r="AM161" s="291"/>
      <c r="AN161" s="291"/>
      <c r="AO161" s="291"/>
      <c r="AP161" s="291"/>
      <c r="AQ161" s="291"/>
      <c r="AR161" s="291"/>
      <c r="AS161" s="291"/>
      <c r="AT161" s="291"/>
      <c r="AU161" s="291"/>
      <c r="AV161" s="291"/>
      <c r="AW161" s="291"/>
      <c r="AX161" s="291"/>
    </row>
    <row r="162" spans="2:50" ht="23.1" customHeight="1" x14ac:dyDescent="0.3">
      <c r="B162" s="319"/>
      <c r="C162" s="320"/>
      <c r="D162" s="320"/>
      <c r="E162" s="320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S162" s="291"/>
      <c r="T162" s="291"/>
      <c r="U162" s="291"/>
      <c r="V162" s="291"/>
      <c r="W162" s="291"/>
      <c r="X162" s="291"/>
      <c r="Y162" s="291"/>
      <c r="Z162" s="291"/>
      <c r="AA162" s="291"/>
      <c r="AB162" s="291"/>
      <c r="AC162" s="291"/>
      <c r="AD162" s="291"/>
      <c r="AE162" s="291"/>
      <c r="AF162" s="291"/>
      <c r="AG162" s="291"/>
      <c r="AH162" s="291"/>
      <c r="AI162" s="291"/>
      <c r="AJ162" s="291"/>
      <c r="AK162" s="291"/>
      <c r="AL162" s="291"/>
      <c r="AM162" s="291"/>
      <c r="AN162" s="291"/>
      <c r="AO162" s="291"/>
      <c r="AP162" s="291"/>
      <c r="AQ162" s="291"/>
      <c r="AR162" s="291"/>
      <c r="AS162" s="291"/>
      <c r="AT162" s="291"/>
      <c r="AU162" s="291"/>
      <c r="AV162" s="291"/>
      <c r="AW162" s="291"/>
      <c r="AX162" s="291"/>
    </row>
    <row r="163" spans="2:50" ht="23.1" customHeight="1" x14ac:dyDescent="0.3">
      <c r="B163" s="319"/>
      <c r="C163" s="320"/>
      <c r="D163" s="320"/>
      <c r="E163" s="320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S163" s="291"/>
      <c r="T163" s="291"/>
      <c r="U163" s="291"/>
      <c r="V163" s="291"/>
      <c r="W163" s="291"/>
      <c r="X163" s="291"/>
      <c r="Y163" s="291"/>
      <c r="Z163" s="291"/>
      <c r="AA163" s="291"/>
      <c r="AB163" s="291"/>
      <c r="AC163" s="291"/>
      <c r="AD163" s="291"/>
      <c r="AE163" s="291"/>
      <c r="AF163" s="291"/>
      <c r="AG163" s="291"/>
      <c r="AH163" s="291"/>
      <c r="AI163" s="291"/>
      <c r="AJ163" s="291"/>
      <c r="AK163" s="291"/>
      <c r="AL163" s="291"/>
      <c r="AM163" s="291"/>
      <c r="AN163" s="291"/>
      <c r="AO163" s="291"/>
      <c r="AP163" s="291"/>
      <c r="AQ163" s="291"/>
      <c r="AR163" s="291"/>
      <c r="AS163" s="291"/>
      <c r="AT163" s="291"/>
      <c r="AU163" s="291"/>
      <c r="AV163" s="291"/>
      <c r="AW163" s="291"/>
      <c r="AX163" s="291"/>
    </row>
    <row r="164" spans="2:50" ht="23.1" customHeight="1" x14ac:dyDescent="0.3">
      <c r="B164" s="319"/>
      <c r="C164" s="320"/>
      <c r="D164" s="320"/>
      <c r="E164" s="320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S164" s="291"/>
      <c r="T164" s="291"/>
      <c r="U164" s="291"/>
      <c r="V164" s="291"/>
      <c r="W164" s="291"/>
      <c r="X164" s="291"/>
      <c r="Y164" s="291"/>
      <c r="Z164" s="291"/>
      <c r="AA164" s="291"/>
      <c r="AB164" s="291"/>
      <c r="AC164" s="291"/>
      <c r="AD164" s="291"/>
      <c r="AE164" s="291"/>
      <c r="AF164" s="291"/>
      <c r="AG164" s="291"/>
      <c r="AH164" s="291"/>
      <c r="AI164" s="291"/>
      <c r="AJ164" s="291"/>
      <c r="AK164" s="291"/>
      <c r="AL164" s="291"/>
      <c r="AM164" s="291"/>
      <c r="AN164" s="291"/>
      <c r="AO164" s="291"/>
      <c r="AP164" s="291"/>
      <c r="AQ164" s="291"/>
      <c r="AR164" s="291"/>
      <c r="AS164" s="291"/>
      <c r="AT164" s="291"/>
      <c r="AU164" s="291"/>
      <c r="AV164" s="291"/>
      <c r="AW164" s="291"/>
      <c r="AX164" s="291"/>
    </row>
    <row r="165" spans="2:50" ht="23.1" customHeight="1" x14ac:dyDescent="0.3">
      <c r="B165" s="319"/>
      <c r="C165" s="320"/>
      <c r="D165" s="320"/>
      <c r="E165" s="320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S165" s="291"/>
      <c r="T165" s="291"/>
      <c r="U165" s="291"/>
      <c r="V165" s="291"/>
      <c r="W165" s="291"/>
      <c r="X165" s="291"/>
      <c r="Y165" s="291"/>
      <c r="Z165" s="291"/>
      <c r="AA165" s="291"/>
      <c r="AB165" s="291"/>
      <c r="AC165" s="291"/>
      <c r="AD165" s="291"/>
      <c r="AE165" s="291"/>
      <c r="AF165" s="291"/>
      <c r="AG165" s="291"/>
      <c r="AH165" s="291"/>
      <c r="AI165" s="291"/>
      <c r="AJ165" s="291"/>
      <c r="AK165" s="291"/>
      <c r="AL165" s="291"/>
      <c r="AM165" s="291"/>
      <c r="AN165" s="291"/>
      <c r="AO165" s="291"/>
      <c r="AP165" s="291"/>
      <c r="AQ165" s="291"/>
      <c r="AR165" s="291"/>
      <c r="AS165" s="291"/>
      <c r="AT165" s="291"/>
      <c r="AU165" s="291"/>
      <c r="AV165" s="291"/>
      <c r="AW165" s="291"/>
      <c r="AX165" s="291"/>
    </row>
    <row r="166" spans="2:50" ht="23.1" customHeight="1" x14ac:dyDescent="0.3">
      <c r="B166" s="319"/>
      <c r="C166" s="320"/>
      <c r="D166" s="320"/>
      <c r="E166" s="320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S166" s="291"/>
      <c r="T166" s="291"/>
      <c r="U166" s="291"/>
      <c r="V166" s="291"/>
      <c r="W166" s="291"/>
      <c r="X166" s="291"/>
      <c r="Y166" s="291"/>
      <c r="Z166" s="291"/>
      <c r="AA166" s="291"/>
      <c r="AB166" s="291"/>
      <c r="AC166" s="291"/>
      <c r="AD166" s="291"/>
      <c r="AE166" s="291"/>
      <c r="AF166" s="291"/>
      <c r="AG166" s="291"/>
      <c r="AH166" s="291"/>
      <c r="AI166" s="291"/>
      <c r="AJ166" s="291"/>
      <c r="AK166" s="291"/>
      <c r="AL166" s="291"/>
      <c r="AM166" s="291"/>
      <c r="AN166" s="291"/>
      <c r="AO166" s="291"/>
      <c r="AP166" s="291"/>
      <c r="AQ166" s="291"/>
      <c r="AR166" s="291"/>
      <c r="AS166" s="291"/>
      <c r="AT166" s="291"/>
      <c r="AU166" s="291"/>
      <c r="AV166" s="291"/>
      <c r="AW166" s="291"/>
      <c r="AX166" s="291"/>
    </row>
    <row r="167" spans="2:50" ht="23.1" customHeight="1" x14ac:dyDescent="0.3">
      <c r="B167" s="319"/>
      <c r="C167" s="320"/>
      <c r="D167" s="320"/>
      <c r="E167" s="320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S167" s="291"/>
      <c r="T167" s="291"/>
      <c r="U167" s="291"/>
      <c r="V167" s="291"/>
      <c r="W167" s="291"/>
      <c r="X167" s="291"/>
      <c r="Y167" s="291"/>
      <c r="Z167" s="291"/>
      <c r="AA167" s="291"/>
      <c r="AB167" s="291"/>
      <c r="AC167" s="291"/>
      <c r="AD167" s="291"/>
      <c r="AE167" s="291"/>
      <c r="AF167" s="291"/>
      <c r="AG167" s="291"/>
      <c r="AH167" s="291"/>
      <c r="AI167" s="291"/>
      <c r="AJ167" s="291"/>
      <c r="AK167" s="291"/>
      <c r="AL167" s="291"/>
      <c r="AM167" s="291"/>
      <c r="AN167" s="291"/>
      <c r="AO167" s="291"/>
      <c r="AP167" s="291"/>
      <c r="AQ167" s="291"/>
      <c r="AR167" s="291"/>
      <c r="AS167" s="291"/>
      <c r="AT167" s="291"/>
      <c r="AU167" s="291"/>
      <c r="AV167" s="291"/>
      <c r="AW167" s="291"/>
      <c r="AX167" s="291"/>
    </row>
    <row r="168" spans="2:50" ht="23.1" customHeight="1" x14ac:dyDescent="0.3">
      <c r="B168" s="319"/>
      <c r="C168" s="320"/>
      <c r="D168" s="320"/>
      <c r="E168" s="320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1"/>
      <c r="T168" s="291"/>
      <c r="U168" s="291"/>
      <c r="V168" s="291"/>
      <c r="W168" s="291"/>
      <c r="X168" s="291"/>
      <c r="Y168" s="291"/>
      <c r="Z168" s="291"/>
      <c r="AA168" s="291"/>
      <c r="AB168" s="291"/>
      <c r="AC168" s="291"/>
      <c r="AD168" s="291"/>
      <c r="AE168" s="291"/>
      <c r="AF168" s="291"/>
      <c r="AG168" s="291"/>
      <c r="AH168" s="291"/>
      <c r="AI168" s="291"/>
      <c r="AJ168" s="291"/>
      <c r="AK168" s="291"/>
      <c r="AL168" s="291"/>
      <c r="AM168" s="291"/>
      <c r="AN168" s="291"/>
      <c r="AO168" s="291"/>
      <c r="AP168" s="291"/>
      <c r="AQ168" s="291"/>
      <c r="AR168" s="291"/>
      <c r="AS168" s="291"/>
      <c r="AT168" s="291"/>
      <c r="AU168" s="291"/>
      <c r="AV168" s="291"/>
      <c r="AW168" s="291"/>
      <c r="AX168" s="291"/>
    </row>
    <row r="169" spans="2:50" ht="23.1" customHeight="1" x14ac:dyDescent="0.3">
      <c r="B169" s="319"/>
      <c r="C169" s="320"/>
      <c r="D169" s="320"/>
      <c r="E169" s="320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S169" s="291"/>
      <c r="T169" s="291"/>
      <c r="U169" s="291"/>
      <c r="V169" s="291"/>
      <c r="W169" s="291"/>
      <c r="X169" s="291"/>
      <c r="Y169" s="291"/>
      <c r="Z169" s="291"/>
      <c r="AA169" s="291"/>
      <c r="AB169" s="291"/>
      <c r="AC169" s="291"/>
      <c r="AD169" s="291"/>
      <c r="AE169" s="291"/>
      <c r="AF169" s="291"/>
      <c r="AG169" s="291"/>
      <c r="AH169" s="291"/>
      <c r="AI169" s="291"/>
      <c r="AJ169" s="291"/>
      <c r="AK169" s="291"/>
      <c r="AL169" s="291"/>
      <c r="AM169" s="291"/>
      <c r="AN169" s="291"/>
      <c r="AO169" s="291"/>
      <c r="AP169" s="291"/>
      <c r="AQ169" s="291"/>
      <c r="AR169" s="291"/>
      <c r="AS169" s="291"/>
      <c r="AT169" s="291"/>
      <c r="AU169" s="291"/>
      <c r="AV169" s="291"/>
      <c r="AW169" s="291"/>
      <c r="AX169" s="291"/>
    </row>
    <row r="170" spans="2:50" ht="23.1" customHeight="1" x14ac:dyDescent="0.3">
      <c r="B170" s="319"/>
      <c r="C170" s="320"/>
      <c r="D170" s="320"/>
      <c r="E170" s="320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S170" s="291"/>
      <c r="T170" s="291"/>
      <c r="U170" s="291"/>
      <c r="V170" s="291"/>
      <c r="W170" s="291"/>
      <c r="X170" s="291"/>
      <c r="Y170" s="291"/>
      <c r="Z170" s="291"/>
      <c r="AA170" s="291"/>
      <c r="AB170" s="291"/>
      <c r="AC170" s="291"/>
      <c r="AD170" s="291"/>
      <c r="AE170" s="291"/>
      <c r="AF170" s="291"/>
      <c r="AG170" s="291"/>
      <c r="AH170" s="291"/>
      <c r="AI170" s="291"/>
      <c r="AJ170" s="291"/>
      <c r="AK170" s="291"/>
      <c r="AL170" s="291"/>
      <c r="AM170" s="291"/>
      <c r="AN170" s="291"/>
      <c r="AO170" s="291"/>
      <c r="AP170" s="291"/>
      <c r="AQ170" s="291"/>
      <c r="AR170" s="291"/>
      <c r="AS170" s="291"/>
      <c r="AT170" s="291"/>
      <c r="AU170" s="291"/>
      <c r="AV170" s="291"/>
      <c r="AW170" s="291"/>
      <c r="AX170" s="291"/>
    </row>
    <row r="171" spans="2:50" ht="23.1" customHeight="1" x14ac:dyDescent="0.3">
      <c r="B171" s="319"/>
      <c r="C171" s="320"/>
      <c r="D171" s="320"/>
      <c r="E171" s="320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S171" s="291"/>
      <c r="T171" s="291"/>
      <c r="U171" s="291"/>
      <c r="V171" s="291"/>
      <c r="W171" s="291"/>
      <c r="X171" s="291"/>
      <c r="Y171" s="291"/>
      <c r="Z171" s="291"/>
      <c r="AA171" s="291"/>
      <c r="AB171" s="291"/>
      <c r="AC171" s="291"/>
      <c r="AD171" s="291"/>
      <c r="AE171" s="291"/>
      <c r="AF171" s="291"/>
      <c r="AG171" s="291"/>
      <c r="AH171" s="291"/>
      <c r="AI171" s="291"/>
      <c r="AJ171" s="291"/>
      <c r="AK171" s="291"/>
      <c r="AL171" s="291"/>
      <c r="AM171" s="291"/>
      <c r="AN171" s="291"/>
      <c r="AO171" s="291"/>
      <c r="AP171" s="291"/>
      <c r="AQ171" s="291"/>
      <c r="AR171" s="291"/>
      <c r="AS171" s="291"/>
      <c r="AT171" s="291"/>
      <c r="AU171" s="291"/>
      <c r="AV171" s="291"/>
      <c r="AW171" s="291"/>
      <c r="AX171" s="291"/>
    </row>
    <row r="172" spans="2:50" ht="23.1" customHeight="1" x14ac:dyDescent="0.3">
      <c r="B172" s="319"/>
      <c r="C172" s="320"/>
      <c r="D172" s="320"/>
      <c r="E172" s="320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1"/>
      <c r="AA172" s="291"/>
      <c r="AB172" s="291"/>
      <c r="AC172" s="291"/>
      <c r="AD172" s="291"/>
      <c r="AE172" s="291"/>
      <c r="AF172" s="291"/>
      <c r="AG172" s="291"/>
      <c r="AH172" s="291"/>
      <c r="AI172" s="291"/>
      <c r="AJ172" s="291"/>
      <c r="AK172" s="291"/>
      <c r="AL172" s="291"/>
      <c r="AM172" s="291"/>
      <c r="AN172" s="291"/>
      <c r="AO172" s="291"/>
      <c r="AP172" s="291"/>
      <c r="AQ172" s="291"/>
      <c r="AR172" s="291"/>
      <c r="AS172" s="291"/>
      <c r="AT172" s="291"/>
      <c r="AU172" s="291"/>
      <c r="AV172" s="291"/>
      <c r="AW172" s="291"/>
      <c r="AX172" s="291"/>
    </row>
    <row r="173" spans="2:50" ht="23.1" customHeight="1" x14ac:dyDescent="0.3">
      <c r="B173" s="319"/>
      <c r="C173" s="320"/>
      <c r="D173" s="320"/>
      <c r="E173" s="320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S173" s="291"/>
      <c r="T173" s="291"/>
      <c r="U173" s="291"/>
      <c r="V173" s="291"/>
      <c r="W173" s="291"/>
      <c r="X173" s="291"/>
      <c r="Y173" s="291"/>
      <c r="Z173" s="291"/>
      <c r="AA173" s="291"/>
      <c r="AB173" s="291"/>
      <c r="AC173" s="291"/>
      <c r="AD173" s="291"/>
      <c r="AE173" s="291"/>
      <c r="AF173" s="291"/>
      <c r="AG173" s="291"/>
      <c r="AH173" s="291"/>
      <c r="AI173" s="291"/>
      <c r="AJ173" s="291"/>
      <c r="AK173" s="291"/>
      <c r="AL173" s="291"/>
      <c r="AM173" s="291"/>
      <c r="AN173" s="291"/>
      <c r="AO173" s="291"/>
      <c r="AP173" s="291"/>
      <c r="AQ173" s="291"/>
      <c r="AR173" s="291"/>
      <c r="AS173" s="291"/>
      <c r="AT173" s="291"/>
      <c r="AU173" s="291"/>
      <c r="AV173" s="291"/>
      <c r="AW173" s="291"/>
      <c r="AX173" s="291"/>
    </row>
    <row r="174" spans="2:50" ht="23.1" customHeight="1" x14ac:dyDescent="0.3">
      <c r="B174" s="319"/>
      <c r="C174" s="320"/>
      <c r="D174" s="320"/>
      <c r="E174" s="320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291"/>
      <c r="AI174" s="291"/>
      <c r="AJ174" s="291"/>
      <c r="AK174" s="291"/>
      <c r="AL174" s="291"/>
      <c r="AM174" s="291"/>
      <c r="AN174" s="291"/>
      <c r="AO174" s="291"/>
      <c r="AP174" s="291"/>
      <c r="AQ174" s="291"/>
      <c r="AR174" s="291"/>
      <c r="AS174" s="291"/>
      <c r="AT174" s="291"/>
      <c r="AU174" s="291"/>
      <c r="AV174" s="291"/>
      <c r="AW174" s="291"/>
      <c r="AX174" s="291"/>
    </row>
    <row r="175" spans="2:50" ht="23.1" customHeight="1" x14ac:dyDescent="0.3">
      <c r="B175" s="319"/>
      <c r="C175" s="320"/>
      <c r="D175" s="320"/>
      <c r="E175" s="320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S175" s="291"/>
      <c r="T175" s="291"/>
      <c r="U175" s="291"/>
      <c r="V175" s="291"/>
      <c r="W175" s="291"/>
      <c r="X175" s="291"/>
      <c r="Y175" s="291"/>
      <c r="Z175" s="291"/>
      <c r="AA175" s="291"/>
      <c r="AB175" s="291"/>
      <c r="AC175" s="291"/>
      <c r="AD175" s="291"/>
      <c r="AE175" s="291"/>
      <c r="AF175" s="291"/>
      <c r="AG175" s="291"/>
      <c r="AH175" s="291"/>
      <c r="AI175" s="291"/>
      <c r="AJ175" s="291"/>
      <c r="AK175" s="291"/>
      <c r="AL175" s="291"/>
      <c r="AM175" s="291"/>
      <c r="AN175" s="291"/>
      <c r="AO175" s="291"/>
      <c r="AP175" s="291"/>
      <c r="AQ175" s="291"/>
      <c r="AR175" s="291"/>
      <c r="AS175" s="291"/>
      <c r="AT175" s="291"/>
      <c r="AU175" s="291"/>
      <c r="AV175" s="291"/>
      <c r="AW175" s="291"/>
      <c r="AX175" s="291"/>
    </row>
    <row r="176" spans="2:50" ht="23.1" customHeight="1" x14ac:dyDescent="0.3">
      <c r="B176" s="319"/>
      <c r="C176" s="320"/>
      <c r="D176" s="320"/>
      <c r="E176" s="320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S176" s="291"/>
      <c r="T176" s="291"/>
      <c r="U176" s="291"/>
      <c r="V176" s="291"/>
      <c r="W176" s="291"/>
      <c r="X176" s="291"/>
      <c r="Y176" s="291"/>
      <c r="Z176" s="291"/>
      <c r="AA176" s="291"/>
      <c r="AB176" s="291"/>
      <c r="AC176" s="291"/>
      <c r="AD176" s="291"/>
      <c r="AE176" s="291"/>
      <c r="AF176" s="291"/>
      <c r="AG176" s="291"/>
      <c r="AH176" s="291"/>
      <c r="AI176" s="291"/>
      <c r="AJ176" s="291"/>
      <c r="AK176" s="291"/>
      <c r="AL176" s="291"/>
      <c r="AM176" s="291"/>
      <c r="AN176" s="291"/>
      <c r="AO176" s="291"/>
      <c r="AP176" s="291"/>
      <c r="AQ176" s="291"/>
      <c r="AR176" s="291"/>
      <c r="AS176" s="291"/>
      <c r="AT176" s="291"/>
      <c r="AU176" s="291"/>
      <c r="AV176" s="291"/>
      <c r="AW176" s="291"/>
      <c r="AX176" s="291"/>
    </row>
    <row r="177" spans="2:50" ht="23.1" customHeight="1" x14ac:dyDescent="0.3">
      <c r="B177" s="319"/>
      <c r="C177" s="320"/>
      <c r="D177" s="320"/>
      <c r="E177" s="320"/>
      <c r="F177" s="291"/>
      <c r="G177" s="291"/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S177" s="291"/>
      <c r="T177" s="291"/>
      <c r="U177" s="291"/>
      <c r="V177" s="291"/>
      <c r="W177" s="291"/>
      <c r="X177" s="291"/>
      <c r="Y177" s="291"/>
      <c r="Z177" s="291"/>
      <c r="AA177" s="291"/>
      <c r="AB177" s="291"/>
      <c r="AC177" s="291"/>
      <c r="AD177" s="291"/>
      <c r="AE177" s="291"/>
      <c r="AF177" s="291"/>
      <c r="AG177" s="291"/>
      <c r="AH177" s="291"/>
      <c r="AI177" s="291"/>
      <c r="AJ177" s="291"/>
      <c r="AK177" s="291"/>
      <c r="AL177" s="291"/>
      <c r="AM177" s="291"/>
      <c r="AN177" s="291"/>
      <c r="AO177" s="291"/>
      <c r="AP177" s="291"/>
      <c r="AQ177" s="291"/>
      <c r="AR177" s="291"/>
      <c r="AS177" s="291"/>
      <c r="AT177" s="291"/>
      <c r="AU177" s="291"/>
      <c r="AV177" s="291"/>
      <c r="AW177" s="291"/>
      <c r="AX177" s="291"/>
    </row>
    <row r="178" spans="2:50" ht="23.1" customHeight="1" x14ac:dyDescent="0.3">
      <c r="B178" s="319"/>
      <c r="C178" s="320"/>
      <c r="D178" s="320"/>
      <c r="E178" s="320"/>
      <c r="F178" s="291"/>
      <c r="G178" s="291"/>
      <c r="H178" s="291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S178" s="291"/>
      <c r="T178" s="291"/>
      <c r="U178" s="291"/>
      <c r="V178" s="291"/>
      <c r="W178" s="291"/>
      <c r="X178" s="291"/>
      <c r="Y178" s="291"/>
      <c r="Z178" s="291"/>
      <c r="AA178" s="291"/>
      <c r="AB178" s="291"/>
      <c r="AC178" s="291"/>
      <c r="AD178" s="291"/>
      <c r="AE178" s="291"/>
      <c r="AF178" s="291"/>
      <c r="AG178" s="291"/>
      <c r="AH178" s="291"/>
      <c r="AI178" s="291"/>
      <c r="AJ178" s="291"/>
      <c r="AK178" s="291"/>
      <c r="AL178" s="291"/>
      <c r="AM178" s="291"/>
      <c r="AN178" s="291"/>
      <c r="AO178" s="291"/>
      <c r="AP178" s="291"/>
      <c r="AQ178" s="291"/>
      <c r="AR178" s="291"/>
      <c r="AS178" s="291"/>
      <c r="AT178" s="291"/>
      <c r="AU178" s="291"/>
      <c r="AV178" s="291"/>
      <c r="AW178" s="291"/>
      <c r="AX178" s="291"/>
    </row>
    <row r="179" spans="2:50" ht="23.1" customHeight="1" x14ac:dyDescent="0.3">
      <c r="B179" s="319"/>
      <c r="C179" s="320"/>
      <c r="D179" s="320"/>
      <c r="E179" s="320"/>
      <c r="F179" s="291"/>
      <c r="G179" s="291"/>
      <c r="H179" s="291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S179" s="291"/>
      <c r="T179" s="291"/>
      <c r="U179" s="291"/>
      <c r="V179" s="291"/>
      <c r="W179" s="291"/>
      <c r="X179" s="291"/>
      <c r="Y179" s="291"/>
      <c r="Z179" s="291"/>
      <c r="AA179" s="291"/>
      <c r="AB179" s="291"/>
      <c r="AC179" s="291"/>
      <c r="AD179" s="291"/>
      <c r="AE179" s="291"/>
      <c r="AF179" s="291"/>
      <c r="AG179" s="291"/>
      <c r="AH179" s="291"/>
      <c r="AI179" s="291"/>
      <c r="AJ179" s="291"/>
      <c r="AK179" s="291"/>
      <c r="AL179" s="291"/>
      <c r="AM179" s="291"/>
      <c r="AN179" s="291"/>
      <c r="AO179" s="291"/>
      <c r="AP179" s="291"/>
      <c r="AQ179" s="291"/>
      <c r="AR179" s="291"/>
      <c r="AS179" s="291"/>
      <c r="AT179" s="291"/>
      <c r="AU179" s="291"/>
      <c r="AV179" s="291"/>
      <c r="AW179" s="291"/>
      <c r="AX179" s="291"/>
    </row>
    <row r="180" spans="2:50" ht="23.1" customHeight="1" x14ac:dyDescent="0.3">
      <c r="B180" s="319"/>
      <c r="C180" s="320"/>
      <c r="D180" s="320"/>
      <c r="E180" s="320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S180" s="291"/>
      <c r="T180" s="291"/>
      <c r="U180" s="291"/>
      <c r="V180" s="291"/>
      <c r="W180" s="291"/>
      <c r="X180" s="291"/>
      <c r="Y180" s="291"/>
      <c r="Z180" s="291"/>
      <c r="AA180" s="291"/>
      <c r="AB180" s="291"/>
      <c r="AC180" s="291"/>
      <c r="AD180" s="291"/>
      <c r="AE180" s="291"/>
      <c r="AF180" s="291"/>
      <c r="AG180" s="291"/>
      <c r="AH180" s="291"/>
      <c r="AI180" s="291"/>
      <c r="AJ180" s="291"/>
      <c r="AK180" s="291"/>
      <c r="AL180" s="291"/>
      <c r="AM180" s="291"/>
      <c r="AN180" s="291"/>
      <c r="AO180" s="291"/>
      <c r="AP180" s="291"/>
      <c r="AQ180" s="291"/>
      <c r="AR180" s="291"/>
      <c r="AS180" s="291"/>
      <c r="AT180" s="291"/>
      <c r="AU180" s="291"/>
      <c r="AV180" s="291"/>
      <c r="AW180" s="291"/>
      <c r="AX180" s="291"/>
    </row>
    <row r="181" spans="2:50" ht="23.1" customHeight="1" x14ac:dyDescent="0.3">
      <c r="B181" s="319"/>
      <c r="C181" s="320"/>
      <c r="D181" s="320"/>
      <c r="E181" s="320"/>
      <c r="F181" s="291"/>
      <c r="G181" s="291"/>
      <c r="H181" s="291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S181" s="291"/>
      <c r="T181" s="291"/>
      <c r="U181" s="291"/>
      <c r="V181" s="291"/>
      <c r="W181" s="291"/>
      <c r="X181" s="291"/>
      <c r="Y181" s="291"/>
      <c r="Z181" s="291"/>
      <c r="AA181" s="291"/>
      <c r="AB181" s="291"/>
      <c r="AC181" s="291"/>
      <c r="AD181" s="291"/>
      <c r="AE181" s="291"/>
      <c r="AF181" s="291"/>
      <c r="AG181" s="291"/>
      <c r="AH181" s="291"/>
      <c r="AI181" s="291"/>
      <c r="AJ181" s="291"/>
      <c r="AK181" s="291"/>
      <c r="AL181" s="291"/>
      <c r="AM181" s="291"/>
      <c r="AN181" s="291"/>
      <c r="AO181" s="291"/>
      <c r="AP181" s="291"/>
      <c r="AQ181" s="291"/>
      <c r="AR181" s="291"/>
      <c r="AS181" s="291"/>
      <c r="AT181" s="291"/>
      <c r="AU181" s="291"/>
      <c r="AV181" s="291"/>
      <c r="AW181" s="291"/>
      <c r="AX181" s="291"/>
    </row>
    <row r="182" spans="2:50" ht="23.1" customHeight="1" x14ac:dyDescent="0.3">
      <c r="B182" s="319"/>
      <c r="C182" s="320"/>
      <c r="D182" s="320"/>
      <c r="E182" s="320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S182" s="291"/>
      <c r="T182" s="291"/>
      <c r="U182" s="291"/>
      <c r="V182" s="291"/>
      <c r="W182" s="291"/>
      <c r="X182" s="291"/>
      <c r="Y182" s="291"/>
      <c r="Z182" s="291"/>
      <c r="AA182" s="291"/>
      <c r="AB182" s="291"/>
      <c r="AC182" s="291"/>
      <c r="AD182" s="291"/>
      <c r="AE182" s="291"/>
      <c r="AF182" s="291"/>
      <c r="AG182" s="291"/>
      <c r="AH182" s="291"/>
      <c r="AI182" s="291"/>
      <c r="AJ182" s="291"/>
      <c r="AK182" s="291"/>
      <c r="AL182" s="291"/>
      <c r="AM182" s="291"/>
      <c r="AN182" s="291"/>
      <c r="AO182" s="291"/>
      <c r="AP182" s="291"/>
      <c r="AQ182" s="291"/>
      <c r="AR182" s="291"/>
      <c r="AS182" s="291"/>
      <c r="AT182" s="291"/>
      <c r="AU182" s="291"/>
      <c r="AV182" s="291"/>
      <c r="AW182" s="291"/>
      <c r="AX182" s="291"/>
    </row>
    <row r="183" spans="2:50" ht="23.1" customHeight="1" x14ac:dyDescent="0.3">
      <c r="B183" s="319"/>
      <c r="C183" s="320"/>
      <c r="D183" s="320"/>
      <c r="E183" s="320"/>
      <c r="F183" s="291"/>
      <c r="G183" s="291"/>
      <c r="H183" s="291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S183" s="291"/>
      <c r="T183" s="291"/>
      <c r="U183" s="291"/>
      <c r="V183" s="291"/>
      <c r="W183" s="291"/>
      <c r="X183" s="291"/>
      <c r="Y183" s="291"/>
      <c r="Z183" s="291"/>
      <c r="AA183" s="291"/>
      <c r="AB183" s="291"/>
      <c r="AC183" s="291"/>
      <c r="AD183" s="291"/>
      <c r="AE183" s="291"/>
      <c r="AF183" s="291"/>
      <c r="AG183" s="291"/>
      <c r="AH183" s="291"/>
      <c r="AI183" s="291"/>
      <c r="AJ183" s="291"/>
      <c r="AK183" s="291"/>
      <c r="AL183" s="291"/>
      <c r="AM183" s="291"/>
      <c r="AN183" s="291"/>
      <c r="AO183" s="291"/>
      <c r="AP183" s="291"/>
      <c r="AQ183" s="291"/>
      <c r="AR183" s="291"/>
      <c r="AS183" s="291"/>
      <c r="AT183" s="291"/>
      <c r="AU183" s="291"/>
      <c r="AV183" s="291"/>
      <c r="AW183" s="291"/>
      <c r="AX183" s="291"/>
    </row>
    <row r="184" spans="2:50" ht="23.1" customHeight="1" x14ac:dyDescent="0.3">
      <c r="B184" s="319"/>
      <c r="C184" s="320"/>
      <c r="D184" s="320"/>
      <c r="E184" s="320"/>
      <c r="F184" s="291"/>
      <c r="G184" s="291"/>
      <c r="H184" s="291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S184" s="291"/>
      <c r="T184" s="291"/>
      <c r="U184" s="291"/>
      <c r="V184" s="291"/>
      <c r="W184" s="291"/>
      <c r="X184" s="291"/>
      <c r="Y184" s="291"/>
      <c r="Z184" s="291"/>
      <c r="AA184" s="291"/>
      <c r="AB184" s="291"/>
      <c r="AC184" s="291"/>
      <c r="AD184" s="291"/>
      <c r="AE184" s="291"/>
      <c r="AF184" s="291"/>
      <c r="AG184" s="291"/>
      <c r="AH184" s="291"/>
      <c r="AI184" s="291"/>
      <c r="AJ184" s="291"/>
      <c r="AK184" s="291"/>
      <c r="AL184" s="291"/>
      <c r="AM184" s="291"/>
      <c r="AN184" s="291"/>
      <c r="AO184" s="291"/>
      <c r="AP184" s="291"/>
      <c r="AQ184" s="291"/>
      <c r="AR184" s="291"/>
      <c r="AS184" s="291"/>
      <c r="AT184" s="291"/>
      <c r="AU184" s="291"/>
      <c r="AV184" s="291"/>
      <c r="AW184" s="291"/>
      <c r="AX184" s="291"/>
    </row>
    <row r="185" spans="2:50" ht="23.1" customHeight="1" x14ac:dyDescent="0.3">
      <c r="B185" s="319"/>
      <c r="C185" s="320"/>
      <c r="D185" s="320"/>
      <c r="E185" s="320"/>
      <c r="F185" s="291"/>
      <c r="G185" s="291"/>
      <c r="H185" s="291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S185" s="291"/>
      <c r="T185" s="291"/>
      <c r="U185" s="291"/>
      <c r="V185" s="291"/>
      <c r="W185" s="291"/>
      <c r="X185" s="291"/>
      <c r="Y185" s="291"/>
      <c r="Z185" s="291"/>
      <c r="AA185" s="291"/>
      <c r="AB185" s="291"/>
      <c r="AC185" s="291"/>
      <c r="AD185" s="291"/>
      <c r="AE185" s="291"/>
      <c r="AF185" s="291"/>
      <c r="AG185" s="291"/>
      <c r="AH185" s="291"/>
      <c r="AI185" s="291"/>
      <c r="AJ185" s="291"/>
      <c r="AK185" s="291"/>
      <c r="AL185" s="291"/>
      <c r="AM185" s="291"/>
      <c r="AN185" s="291"/>
      <c r="AO185" s="291"/>
      <c r="AP185" s="291"/>
      <c r="AQ185" s="291"/>
      <c r="AR185" s="291"/>
      <c r="AS185" s="291"/>
      <c r="AT185" s="291"/>
      <c r="AU185" s="291"/>
      <c r="AV185" s="291"/>
      <c r="AW185" s="291"/>
      <c r="AX185" s="291"/>
    </row>
    <row r="186" spans="2:50" ht="23.1" customHeight="1" x14ac:dyDescent="0.3">
      <c r="B186" s="319"/>
      <c r="C186" s="320"/>
      <c r="D186" s="320"/>
      <c r="E186" s="320"/>
      <c r="F186" s="291"/>
      <c r="G186" s="291"/>
      <c r="H186" s="291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S186" s="291"/>
      <c r="T186" s="291"/>
      <c r="U186" s="291"/>
      <c r="V186" s="291"/>
      <c r="W186" s="291"/>
      <c r="X186" s="291"/>
      <c r="Y186" s="291"/>
      <c r="Z186" s="291"/>
      <c r="AA186" s="291"/>
      <c r="AB186" s="291"/>
      <c r="AC186" s="291"/>
      <c r="AD186" s="291"/>
      <c r="AE186" s="291"/>
      <c r="AF186" s="291"/>
      <c r="AG186" s="291"/>
      <c r="AH186" s="291"/>
      <c r="AI186" s="291"/>
      <c r="AJ186" s="291"/>
      <c r="AK186" s="291"/>
      <c r="AL186" s="291"/>
      <c r="AM186" s="291"/>
      <c r="AN186" s="291"/>
      <c r="AO186" s="291"/>
      <c r="AP186" s="291"/>
      <c r="AQ186" s="291"/>
      <c r="AR186" s="291"/>
      <c r="AS186" s="291"/>
      <c r="AT186" s="291"/>
      <c r="AU186" s="291"/>
      <c r="AV186" s="291"/>
      <c r="AW186" s="291"/>
      <c r="AX186" s="291"/>
    </row>
    <row r="187" spans="2:50" ht="23.1" customHeight="1" x14ac:dyDescent="0.3">
      <c r="B187" s="319"/>
      <c r="C187" s="320"/>
      <c r="D187" s="320"/>
      <c r="E187" s="320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S187" s="291"/>
      <c r="T187" s="291"/>
      <c r="U187" s="291"/>
      <c r="V187" s="291"/>
      <c r="W187" s="291"/>
      <c r="X187" s="291"/>
      <c r="Y187" s="291"/>
      <c r="Z187" s="291"/>
      <c r="AA187" s="291"/>
      <c r="AB187" s="291"/>
      <c r="AC187" s="291"/>
      <c r="AD187" s="291"/>
      <c r="AE187" s="291"/>
      <c r="AF187" s="291"/>
      <c r="AG187" s="291"/>
      <c r="AH187" s="291"/>
      <c r="AI187" s="291"/>
      <c r="AJ187" s="291"/>
      <c r="AK187" s="291"/>
      <c r="AL187" s="291"/>
      <c r="AM187" s="291"/>
      <c r="AN187" s="291"/>
      <c r="AO187" s="291"/>
      <c r="AP187" s="291"/>
      <c r="AQ187" s="291"/>
      <c r="AR187" s="291"/>
      <c r="AS187" s="291"/>
      <c r="AT187" s="291"/>
      <c r="AU187" s="291"/>
      <c r="AV187" s="291"/>
      <c r="AW187" s="291"/>
      <c r="AX187" s="291"/>
    </row>
    <row r="188" spans="2:50" ht="23.1" customHeight="1" x14ac:dyDescent="0.3">
      <c r="B188" s="319"/>
      <c r="C188" s="320"/>
      <c r="D188" s="320"/>
      <c r="E188" s="320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S188" s="291"/>
      <c r="T188" s="291"/>
      <c r="U188" s="291"/>
      <c r="V188" s="291"/>
      <c r="W188" s="291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</row>
    <row r="189" spans="2:50" ht="23.1" customHeight="1" x14ac:dyDescent="0.3">
      <c r="B189" s="319"/>
      <c r="C189" s="320"/>
      <c r="D189" s="320"/>
      <c r="E189" s="320"/>
      <c r="F189" s="291"/>
      <c r="G189" s="291"/>
      <c r="H189" s="291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S189" s="291"/>
      <c r="T189" s="291"/>
      <c r="U189" s="291"/>
      <c r="V189" s="291"/>
      <c r="W189" s="291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</row>
    <row r="190" spans="2:50" ht="23.1" customHeight="1" x14ac:dyDescent="0.3">
      <c r="B190" s="319"/>
      <c r="C190" s="320"/>
      <c r="D190" s="320"/>
      <c r="E190" s="320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S190" s="291"/>
      <c r="T190" s="291"/>
      <c r="U190" s="291"/>
      <c r="V190" s="291"/>
      <c r="W190" s="291"/>
      <c r="X190" s="291"/>
      <c r="Y190" s="291"/>
      <c r="Z190" s="291"/>
      <c r="AA190" s="291"/>
      <c r="AB190" s="291"/>
      <c r="AC190" s="291"/>
      <c r="AD190" s="291"/>
      <c r="AE190" s="291"/>
      <c r="AF190" s="291"/>
      <c r="AG190" s="291"/>
      <c r="AH190" s="291"/>
      <c r="AI190" s="291"/>
      <c r="AJ190" s="291"/>
      <c r="AK190" s="291"/>
      <c r="AL190" s="291"/>
      <c r="AM190" s="291"/>
      <c r="AN190" s="291"/>
      <c r="AO190" s="291"/>
      <c r="AP190" s="291"/>
      <c r="AQ190" s="291"/>
      <c r="AR190" s="291"/>
      <c r="AS190" s="291"/>
      <c r="AT190" s="291"/>
      <c r="AU190" s="291"/>
      <c r="AV190" s="291"/>
      <c r="AW190" s="291"/>
      <c r="AX190" s="291"/>
    </row>
    <row r="191" spans="2:50" ht="23.1" customHeight="1" x14ac:dyDescent="0.3">
      <c r="B191" s="319"/>
      <c r="C191" s="320"/>
      <c r="D191" s="320"/>
      <c r="E191" s="320"/>
      <c r="F191" s="291"/>
      <c r="G191" s="291"/>
      <c r="H191" s="291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S191" s="291"/>
      <c r="T191" s="291"/>
      <c r="U191" s="291"/>
      <c r="V191" s="291"/>
      <c r="W191" s="291"/>
      <c r="X191" s="291"/>
      <c r="Y191" s="291"/>
      <c r="Z191" s="291"/>
      <c r="AA191" s="291"/>
      <c r="AB191" s="291"/>
      <c r="AC191" s="291"/>
      <c r="AD191" s="291"/>
      <c r="AE191" s="291"/>
      <c r="AF191" s="291"/>
      <c r="AG191" s="291"/>
      <c r="AH191" s="291"/>
      <c r="AI191" s="291"/>
      <c r="AJ191" s="291"/>
      <c r="AK191" s="291"/>
      <c r="AL191" s="291"/>
      <c r="AM191" s="291"/>
      <c r="AN191" s="291"/>
      <c r="AO191" s="291"/>
      <c r="AP191" s="291"/>
      <c r="AQ191" s="291"/>
      <c r="AR191" s="291"/>
      <c r="AS191" s="291"/>
      <c r="AT191" s="291"/>
      <c r="AU191" s="291"/>
      <c r="AV191" s="291"/>
      <c r="AW191" s="291"/>
      <c r="AX191" s="291"/>
    </row>
    <row r="192" spans="2:50" ht="23.1" customHeight="1" x14ac:dyDescent="0.3">
      <c r="B192" s="319"/>
      <c r="C192" s="320"/>
      <c r="D192" s="320"/>
      <c r="E192" s="320"/>
      <c r="F192" s="291"/>
      <c r="G192" s="291"/>
      <c r="H192" s="291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S192" s="291"/>
      <c r="T192" s="291"/>
      <c r="U192" s="291"/>
      <c r="V192" s="291"/>
      <c r="W192" s="291"/>
      <c r="X192" s="291"/>
      <c r="Y192" s="291"/>
      <c r="Z192" s="291"/>
      <c r="AA192" s="291"/>
      <c r="AB192" s="291"/>
      <c r="AC192" s="291"/>
      <c r="AD192" s="291"/>
      <c r="AE192" s="291"/>
      <c r="AF192" s="291"/>
      <c r="AG192" s="291"/>
      <c r="AH192" s="291"/>
      <c r="AI192" s="291"/>
      <c r="AJ192" s="291"/>
      <c r="AK192" s="291"/>
      <c r="AL192" s="291"/>
      <c r="AM192" s="291"/>
      <c r="AN192" s="291"/>
      <c r="AO192" s="291"/>
      <c r="AP192" s="291"/>
      <c r="AQ192" s="291"/>
      <c r="AR192" s="291"/>
      <c r="AS192" s="291"/>
      <c r="AT192" s="291"/>
      <c r="AU192" s="291"/>
      <c r="AV192" s="291"/>
      <c r="AW192" s="291"/>
      <c r="AX192" s="291"/>
    </row>
    <row r="193" spans="2:50" ht="23.1" customHeight="1" x14ac:dyDescent="0.3">
      <c r="B193" s="319"/>
      <c r="C193" s="320"/>
      <c r="D193" s="320"/>
      <c r="E193" s="320"/>
      <c r="F193" s="291"/>
      <c r="G193" s="291"/>
      <c r="H193" s="291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S193" s="291"/>
      <c r="T193" s="291"/>
      <c r="U193" s="291"/>
      <c r="V193" s="291"/>
      <c r="W193" s="291"/>
      <c r="X193" s="291"/>
      <c r="Y193" s="291"/>
      <c r="Z193" s="291"/>
      <c r="AA193" s="291"/>
      <c r="AB193" s="291"/>
      <c r="AC193" s="291"/>
      <c r="AD193" s="291"/>
      <c r="AE193" s="291"/>
      <c r="AF193" s="291"/>
      <c r="AG193" s="291"/>
      <c r="AH193" s="291"/>
      <c r="AI193" s="291"/>
      <c r="AJ193" s="291"/>
      <c r="AK193" s="291"/>
      <c r="AL193" s="291"/>
      <c r="AM193" s="291"/>
      <c r="AN193" s="291"/>
      <c r="AO193" s="291"/>
      <c r="AP193" s="291"/>
      <c r="AQ193" s="291"/>
      <c r="AR193" s="291"/>
      <c r="AS193" s="291"/>
      <c r="AT193" s="291"/>
      <c r="AU193" s="291"/>
      <c r="AV193" s="291"/>
      <c r="AW193" s="291"/>
      <c r="AX193" s="291"/>
    </row>
    <row r="194" spans="2:50" ht="23.1" customHeight="1" x14ac:dyDescent="0.3">
      <c r="B194" s="319"/>
      <c r="C194" s="320"/>
      <c r="D194" s="320"/>
      <c r="E194" s="320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S194" s="291"/>
      <c r="T194" s="291"/>
      <c r="U194" s="291"/>
      <c r="V194" s="291"/>
      <c r="W194" s="291"/>
      <c r="X194" s="291"/>
      <c r="Y194" s="291"/>
      <c r="Z194" s="291"/>
      <c r="AA194" s="291"/>
      <c r="AB194" s="291"/>
      <c r="AC194" s="291"/>
      <c r="AD194" s="291"/>
      <c r="AE194" s="291"/>
      <c r="AF194" s="291"/>
      <c r="AG194" s="291"/>
      <c r="AH194" s="291"/>
      <c r="AI194" s="291"/>
      <c r="AJ194" s="291"/>
      <c r="AK194" s="291"/>
      <c r="AL194" s="291"/>
      <c r="AM194" s="291"/>
      <c r="AN194" s="291"/>
      <c r="AO194" s="291"/>
      <c r="AP194" s="291"/>
      <c r="AQ194" s="291"/>
      <c r="AR194" s="291"/>
      <c r="AS194" s="291"/>
      <c r="AT194" s="291"/>
      <c r="AU194" s="291"/>
      <c r="AV194" s="291"/>
      <c r="AW194" s="291"/>
      <c r="AX194" s="291"/>
    </row>
    <row r="195" spans="2:50" ht="23.1" customHeight="1" x14ac:dyDescent="0.3">
      <c r="B195" s="319"/>
      <c r="C195" s="320"/>
      <c r="D195" s="320"/>
      <c r="E195" s="320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S195" s="291"/>
      <c r="T195" s="291"/>
      <c r="U195" s="291"/>
      <c r="V195" s="291"/>
      <c r="W195" s="291"/>
      <c r="X195" s="291"/>
      <c r="Y195" s="291"/>
      <c r="Z195" s="291"/>
      <c r="AA195" s="291"/>
      <c r="AB195" s="291"/>
      <c r="AC195" s="291"/>
      <c r="AD195" s="291"/>
      <c r="AE195" s="291"/>
      <c r="AF195" s="291"/>
      <c r="AG195" s="291"/>
      <c r="AH195" s="291"/>
      <c r="AI195" s="291"/>
      <c r="AJ195" s="291"/>
      <c r="AK195" s="291"/>
      <c r="AL195" s="291"/>
      <c r="AM195" s="291"/>
      <c r="AN195" s="291"/>
      <c r="AO195" s="291"/>
      <c r="AP195" s="291"/>
      <c r="AQ195" s="291"/>
      <c r="AR195" s="291"/>
      <c r="AS195" s="291"/>
      <c r="AT195" s="291"/>
      <c r="AU195" s="291"/>
      <c r="AV195" s="291"/>
      <c r="AW195" s="291"/>
      <c r="AX195" s="291"/>
    </row>
    <row r="196" spans="2:50" ht="23.1" customHeight="1" x14ac:dyDescent="0.3">
      <c r="B196" s="319"/>
      <c r="C196" s="320"/>
      <c r="D196" s="320"/>
      <c r="E196" s="320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S196" s="291"/>
      <c r="T196" s="291"/>
      <c r="U196" s="291"/>
      <c r="V196" s="291"/>
      <c r="W196" s="291"/>
      <c r="X196" s="291"/>
      <c r="Y196" s="291"/>
      <c r="Z196" s="291"/>
      <c r="AA196" s="291"/>
      <c r="AB196" s="291"/>
      <c r="AC196" s="291"/>
      <c r="AD196" s="291"/>
      <c r="AE196" s="291"/>
      <c r="AF196" s="291"/>
      <c r="AG196" s="291"/>
      <c r="AH196" s="291"/>
      <c r="AI196" s="291"/>
      <c r="AJ196" s="291"/>
      <c r="AK196" s="291"/>
      <c r="AL196" s="291"/>
      <c r="AM196" s="291"/>
      <c r="AN196" s="291"/>
      <c r="AO196" s="291"/>
      <c r="AP196" s="291"/>
      <c r="AQ196" s="291"/>
      <c r="AR196" s="291"/>
      <c r="AS196" s="291"/>
      <c r="AT196" s="291"/>
      <c r="AU196" s="291"/>
      <c r="AV196" s="291"/>
      <c r="AW196" s="291"/>
      <c r="AX196" s="291"/>
    </row>
    <row r="197" spans="2:50" ht="23.1" customHeight="1" x14ac:dyDescent="0.3">
      <c r="B197" s="319"/>
      <c r="C197" s="320"/>
      <c r="D197" s="320"/>
      <c r="E197" s="320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S197" s="291"/>
      <c r="T197" s="291"/>
      <c r="U197" s="291"/>
      <c r="V197" s="291"/>
      <c r="W197" s="291"/>
      <c r="X197" s="291"/>
      <c r="Y197" s="291"/>
      <c r="Z197" s="291"/>
      <c r="AA197" s="291"/>
      <c r="AB197" s="291"/>
      <c r="AC197" s="291"/>
      <c r="AD197" s="291"/>
      <c r="AE197" s="291"/>
      <c r="AF197" s="291"/>
      <c r="AG197" s="291"/>
      <c r="AH197" s="291"/>
      <c r="AI197" s="291"/>
      <c r="AJ197" s="291"/>
      <c r="AK197" s="291"/>
      <c r="AL197" s="291"/>
      <c r="AM197" s="291"/>
      <c r="AN197" s="291"/>
      <c r="AO197" s="291"/>
      <c r="AP197" s="291"/>
      <c r="AQ197" s="291"/>
      <c r="AR197" s="291"/>
      <c r="AS197" s="291"/>
      <c r="AT197" s="291"/>
      <c r="AU197" s="291"/>
      <c r="AV197" s="291"/>
      <c r="AW197" s="291"/>
      <c r="AX197" s="291"/>
    </row>
    <row r="198" spans="2:50" ht="23.1" customHeight="1" x14ac:dyDescent="0.3">
      <c r="B198" s="319"/>
      <c r="C198" s="320"/>
      <c r="D198" s="320"/>
      <c r="E198" s="320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S198" s="291"/>
      <c r="T198" s="291"/>
      <c r="U198" s="291"/>
      <c r="V198" s="291"/>
      <c r="W198" s="291"/>
      <c r="X198" s="291"/>
      <c r="Y198" s="291"/>
      <c r="Z198" s="291"/>
      <c r="AA198" s="291"/>
      <c r="AB198" s="291"/>
      <c r="AC198" s="291"/>
      <c r="AD198" s="291"/>
      <c r="AE198" s="291"/>
      <c r="AF198" s="291"/>
      <c r="AG198" s="291"/>
      <c r="AH198" s="291"/>
      <c r="AI198" s="291"/>
      <c r="AJ198" s="291"/>
      <c r="AK198" s="291"/>
      <c r="AL198" s="291"/>
      <c r="AM198" s="291"/>
      <c r="AN198" s="291"/>
      <c r="AO198" s="291"/>
      <c r="AP198" s="291"/>
      <c r="AQ198" s="291"/>
      <c r="AR198" s="291"/>
      <c r="AS198" s="291"/>
      <c r="AT198" s="291"/>
      <c r="AU198" s="291"/>
      <c r="AV198" s="291"/>
      <c r="AW198" s="291"/>
      <c r="AX198" s="291"/>
    </row>
    <row r="199" spans="2:50" ht="23.1" customHeight="1" x14ac:dyDescent="0.3">
      <c r="B199" s="319"/>
      <c r="C199" s="320"/>
      <c r="D199" s="320"/>
      <c r="E199" s="320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S199" s="291"/>
      <c r="T199" s="291"/>
      <c r="U199" s="291"/>
      <c r="V199" s="291"/>
      <c r="W199" s="291"/>
      <c r="X199" s="291"/>
      <c r="Y199" s="291"/>
      <c r="Z199" s="291"/>
      <c r="AA199" s="291"/>
      <c r="AB199" s="291"/>
      <c r="AC199" s="291"/>
      <c r="AD199" s="291"/>
      <c r="AE199" s="291"/>
      <c r="AF199" s="291"/>
      <c r="AG199" s="291"/>
      <c r="AH199" s="291"/>
      <c r="AI199" s="291"/>
      <c r="AJ199" s="291"/>
      <c r="AK199" s="291"/>
      <c r="AL199" s="291"/>
      <c r="AM199" s="291"/>
      <c r="AN199" s="291"/>
      <c r="AO199" s="291"/>
      <c r="AP199" s="291"/>
      <c r="AQ199" s="291"/>
      <c r="AR199" s="291"/>
      <c r="AS199" s="291"/>
      <c r="AT199" s="291"/>
      <c r="AU199" s="291"/>
      <c r="AV199" s="291"/>
      <c r="AW199" s="291"/>
      <c r="AX199" s="291"/>
    </row>
    <row r="200" spans="2:50" ht="23.1" customHeight="1" x14ac:dyDescent="0.3">
      <c r="B200" s="319"/>
      <c r="C200" s="320"/>
      <c r="D200" s="320"/>
      <c r="E200" s="320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S200" s="291"/>
      <c r="T200" s="291"/>
      <c r="U200" s="291"/>
      <c r="V200" s="291"/>
      <c r="W200" s="291"/>
      <c r="X200" s="291"/>
      <c r="Y200" s="291"/>
      <c r="Z200" s="291"/>
      <c r="AA200" s="291"/>
      <c r="AB200" s="291"/>
      <c r="AC200" s="291"/>
      <c r="AD200" s="291"/>
      <c r="AE200" s="291"/>
      <c r="AF200" s="291"/>
      <c r="AG200" s="291"/>
      <c r="AH200" s="291"/>
      <c r="AI200" s="291"/>
      <c r="AJ200" s="291"/>
      <c r="AK200" s="291"/>
      <c r="AL200" s="291"/>
      <c r="AM200" s="291"/>
      <c r="AN200" s="291"/>
      <c r="AO200" s="291"/>
      <c r="AP200" s="291"/>
      <c r="AQ200" s="291"/>
      <c r="AR200" s="291"/>
      <c r="AS200" s="291"/>
      <c r="AT200" s="291"/>
      <c r="AU200" s="291"/>
      <c r="AV200" s="291"/>
      <c r="AW200" s="291"/>
      <c r="AX200" s="291"/>
    </row>
    <row r="201" spans="2:50" ht="23.1" customHeight="1" x14ac:dyDescent="0.3">
      <c r="B201" s="319"/>
      <c r="C201" s="320"/>
      <c r="D201" s="320"/>
      <c r="E201" s="320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S201" s="291"/>
      <c r="T201" s="291"/>
      <c r="U201" s="291"/>
      <c r="V201" s="291"/>
      <c r="W201" s="291"/>
      <c r="X201" s="291"/>
      <c r="Y201" s="291"/>
      <c r="Z201" s="291"/>
      <c r="AA201" s="291"/>
      <c r="AB201" s="291"/>
      <c r="AC201" s="291"/>
      <c r="AD201" s="291"/>
      <c r="AE201" s="291"/>
      <c r="AF201" s="291"/>
      <c r="AG201" s="291"/>
      <c r="AH201" s="291"/>
      <c r="AI201" s="291"/>
      <c r="AJ201" s="291"/>
      <c r="AK201" s="291"/>
      <c r="AL201" s="291"/>
      <c r="AM201" s="291"/>
      <c r="AN201" s="291"/>
      <c r="AO201" s="291"/>
      <c r="AP201" s="291"/>
      <c r="AQ201" s="291"/>
      <c r="AR201" s="291"/>
      <c r="AS201" s="291"/>
      <c r="AT201" s="291"/>
      <c r="AU201" s="291"/>
      <c r="AV201" s="291"/>
      <c r="AW201" s="291"/>
      <c r="AX201" s="291"/>
    </row>
    <row r="202" spans="2:50" ht="23.1" customHeight="1" x14ac:dyDescent="0.3">
      <c r="B202" s="319"/>
      <c r="C202" s="320"/>
      <c r="D202" s="320"/>
      <c r="E202" s="320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S202" s="291"/>
      <c r="T202" s="291"/>
      <c r="U202" s="291"/>
      <c r="V202" s="291"/>
      <c r="W202" s="291"/>
      <c r="X202" s="291"/>
      <c r="Y202" s="291"/>
      <c r="Z202" s="291"/>
      <c r="AA202" s="291"/>
      <c r="AB202" s="291"/>
      <c r="AC202" s="291"/>
      <c r="AD202" s="291"/>
      <c r="AE202" s="291"/>
      <c r="AF202" s="291"/>
      <c r="AG202" s="291"/>
      <c r="AH202" s="291"/>
      <c r="AI202" s="291"/>
      <c r="AJ202" s="291"/>
      <c r="AK202" s="291"/>
      <c r="AL202" s="291"/>
      <c r="AM202" s="291"/>
      <c r="AN202" s="291"/>
      <c r="AO202" s="291"/>
      <c r="AP202" s="291"/>
      <c r="AQ202" s="291"/>
      <c r="AR202" s="291"/>
      <c r="AS202" s="291"/>
      <c r="AT202" s="291"/>
      <c r="AU202" s="291"/>
      <c r="AV202" s="291"/>
      <c r="AW202" s="291"/>
      <c r="AX202" s="291"/>
    </row>
    <row r="203" spans="2:50" ht="23.1" customHeight="1" x14ac:dyDescent="0.3">
      <c r="B203" s="319"/>
      <c r="C203" s="320"/>
      <c r="D203" s="320"/>
      <c r="E203" s="320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S203" s="291"/>
      <c r="T203" s="291"/>
      <c r="U203" s="291"/>
      <c r="V203" s="291"/>
      <c r="W203" s="291"/>
      <c r="X203" s="291"/>
      <c r="Y203" s="291"/>
      <c r="Z203" s="291"/>
      <c r="AA203" s="291"/>
      <c r="AB203" s="291"/>
      <c r="AC203" s="291"/>
      <c r="AD203" s="291"/>
      <c r="AE203" s="291"/>
      <c r="AF203" s="291"/>
      <c r="AG203" s="291"/>
      <c r="AH203" s="291"/>
      <c r="AI203" s="291"/>
      <c r="AJ203" s="291"/>
      <c r="AK203" s="291"/>
      <c r="AL203" s="291"/>
      <c r="AM203" s="291"/>
      <c r="AN203" s="291"/>
      <c r="AO203" s="291"/>
      <c r="AP203" s="291"/>
      <c r="AQ203" s="291"/>
      <c r="AR203" s="291"/>
      <c r="AS203" s="291"/>
      <c r="AT203" s="291"/>
      <c r="AU203" s="291"/>
      <c r="AV203" s="291"/>
      <c r="AW203" s="291"/>
      <c r="AX203" s="291"/>
    </row>
    <row r="204" spans="2:50" ht="23.1" customHeight="1" x14ac:dyDescent="0.3">
      <c r="B204" s="319"/>
      <c r="C204" s="320"/>
      <c r="D204" s="320"/>
      <c r="E204" s="320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S204" s="291"/>
      <c r="T204" s="291"/>
      <c r="U204" s="291"/>
      <c r="V204" s="291"/>
      <c r="W204" s="291"/>
      <c r="X204" s="291"/>
      <c r="Y204" s="291"/>
      <c r="Z204" s="291"/>
      <c r="AA204" s="291"/>
      <c r="AB204" s="291"/>
      <c r="AC204" s="291"/>
      <c r="AD204" s="291"/>
      <c r="AE204" s="291"/>
      <c r="AF204" s="291"/>
      <c r="AG204" s="291"/>
      <c r="AH204" s="291"/>
      <c r="AI204" s="291"/>
      <c r="AJ204" s="291"/>
      <c r="AK204" s="291"/>
      <c r="AL204" s="291"/>
      <c r="AM204" s="291"/>
      <c r="AN204" s="291"/>
      <c r="AO204" s="291"/>
      <c r="AP204" s="291"/>
      <c r="AQ204" s="291"/>
      <c r="AR204" s="291"/>
      <c r="AS204" s="291"/>
      <c r="AT204" s="291"/>
      <c r="AU204" s="291"/>
      <c r="AV204" s="291"/>
      <c r="AW204" s="291"/>
      <c r="AX204" s="291"/>
    </row>
    <row r="205" spans="2:50" ht="23.1" customHeight="1" x14ac:dyDescent="0.3">
      <c r="B205" s="319"/>
      <c r="C205" s="320"/>
      <c r="D205" s="320"/>
      <c r="E205" s="320"/>
      <c r="F205" s="291"/>
      <c r="G205" s="291"/>
      <c r="H205" s="291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S205" s="291"/>
      <c r="T205" s="291"/>
      <c r="U205" s="291"/>
      <c r="V205" s="291"/>
      <c r="W205" s="291"/>
      <c r="X205" s="291"/>
      <c r="Y205" s="291"/>
      <c r="Z205" s="291"/>
      <c r="AA205" s="291"/>
      <c r="AB205" s="291"/>
      <c r="AC205" s="291"/>
      <c r="AD205" s="291"/>
      <c r="AE205" s="291"/>
      <c r="AF205" s="291"/>
      <c r="AG205" s="291"/>
      <c r="AH205" s="291"/>
      <c r="AI205" s="291"/>
      <c r="AJ205" s="291"/>
      <c r="AK205" s="291"/>
      <c r="AL205" s="291"/>
      <c r="AM205" s="291"/>
      <c r="AN205" s="291"/>
      <c r="AO205" s="291"/>
      <c r="AP205" s="291"/>
      <c r="AQ205" s="291"/>
      <c r="AR205" s="291"/>
      <c r="AS205" s="291"/>
      <c r="AT205" s="291"/>
      <c r="AU205" s="291"/>
      <c r="AV205" s="291"/>
      <c r="AW205" s="291"/>
      <c r="AX205" s="291"/>
    </row>
    <row r="206" spans="2:50" ht="23.1" customHeight="1" x14ac:dyDescent="0.3">
      <c r="B206" s="319"/>
      <c r="C206" s="320"/>
      <c r="D206" s="320"/>
      <c r="E206" s="320"/>
      <c r="F206" s="291"/>
      <c r="G206" s="291"/>
      <c r="H206" s="291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S206" s="291"/>
      <c r="T206" s="291"/>
      <c r="U206" s="291"/>
      <c r="V206" s="291"/>
      <c r="W206" s="291"/>
      <c r="X206" s="291"/>
      <c r="Y206" s="291"/>
      <c r="Z206" s="291"/>
      <c r="AA206" s="291"/>
      <c r="AB206" s="291"/>
      <c r="AC206" s="291"/>
      <c r="AD206" s="291"/>
      <c r="AE206" s="291"/>
      <c r="AF206" s="291"/>
      <c r="AG206" s="291"/>
      <c r="AH206" s="291"/>
      <c r="AI206" s="291"/>
      <c r="AJ206" s="291"/>
      <c r="AK206" s="291"/>
      <c r="AL206" s="291"/>
      <c r="AM206" s="291"/>
      <c r="AN206" s="291"/>
      <c r="AO206" s="291"/>
      <c r="AP206" s="291"/>
      <c r="AQ206" s="291"/>
      <c r="AR206" s="291"/>
      <c r="AS206" s="291"/>
      <c r="AT206" s="291"/>
      <c r="AU206" s="291"/>
      <c r="AV206" s="291"/>
      <c r="AW206" s="291"/>
      <c r="AX206" s="291"/>
    </row>
    <row r="207" spans="2:50" ht="23.1" customHeight="1" x14ac:dyDescent="0.3">
      <c r="B207" s="319"/>
      <c r="C207" s="320"/>
      <c r="D207" s="320"/>
      <c r="E207" s="320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S207" s="291"/>
      <c r="T207" s="291"/>
      <c r="U207" s="291"/>
      <c r="V207" s="291"/>
      <c r="W207" s="291"/>
      <c r="X207" s="291"/>
      <c r="Y207" s="291"/>
      <c r="Z207" s="291"/>
      <c r="AA207" s="291"/>
      <c r="AB207" s="291"/>
      <c r="AC207" s="291"/>
      <c r="AD207" s="291"/>
      <c r="AE207" s="291"/>
      <c r="AF207" s="291"/>
      <c r="AG207" s="291"/>
      <c r="AH207" s="291"/>
      <c r="AI207" s="291"/>
      <c r="AJ207" s="291"/>
      <c r="AK207" s="291"/>
      <c r="AL207" s="291"/>
      <c r="AM207" s="291"/>
      <c r="AN207" s="291"/>
      <c r="AO207" s="291"/>
      <c r="AP207" s="291"/>
      <c r="AQ207" s="291"/>
      <c r="AR207" s="291"/>
      <c r="AS207" s="291"/>
      <c r="AT207" s="291"/>
      <c r="AU207" s="291"/>
      <c r="AV207" s="291"/>
      <c r="AW207" s="291"/>
      <c r="AX207" s="291"/>
    </row>
    <row r="208" spans="2:50" ht="23.1" customHeight="1" x14ac:dyDescent="0.3">
      <c r="B208" s="319"/>
      <c r="C208" s="320"/>
      <c r="D208" s="320"/>
      <c r="E208" s="320"/>
      <c r="F208" s="291"/>
      <c r="G208" s="291"/>
      <c r="H208" s="291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S208" s="291"/>
      <c r="T208" s="291"/>
      <c r="U208" s="291"/>
      <c r="V208" s="291"/>
      <c r="W208" s="291"/>
      <c r="X208" s="291"/>
      <c r="Y208" s="291"/>
      <c r="Z208" s="291"/>
      <c r="AA208" s="291"/>
      <c r="AB208" s="291"/>
      <c r="AC208" s="291"/>
      <c r="AD208" s="291"/>
      <c r="AE208" s="291"/>
      <c r="AF208" s="291"/>
      <c r="AG208" s="291"/>
      <c r="AH208" s="291"/>
      <c r="AI208" s="291"/>
      <c r="AJ208" s="291"/>
      <c r="AK208" s="291"/>
      <c r="AL208" s="291"/>
      <c r="AM208" s="291"/>
      <c r="AN208" s="291"/>
      <c r="AO208" s="291"/>
      <c r="AP208" s="291"/>
      <c r="AQ208" s="291"/>
      <c r="AR208" s="291"/>
      <c r="AS208" s="291"/>
      <c r="AT208" s="291"/>
      <c r="AU208" s="291"/>
      <c r="AV208" s="291"/>
      <c r="AW208" s="291"/>
      <c r="AX208" s="291"/>
    </row>
    <row r="209" spans="2:50" ht="23.1" customHeight="1" x14ac:dyDescent="0.3">
      <c r="B209" s="319"/>
      <c r="C209" s="320"/>
      <c r="D209" s="320"/>
      <c r="E209" s="320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S209" s="291"/>
      <c r="T209" s="291"/>
      <c r="U209" s="291"/>
      <c r="V209" s="291"/>
      <c r="W209" s="291"/>
      <c r="X209" s="291"/>
      <c r="Y209" s="291"/>
      <c r="Z209" s="291"/>
      <c r="AA209" s="291"/>
      <c r="AB209" s="291"/>
      <c r="AC209" s="291"/>
      <c r="AD209" s="291"/>
      <c r="AE209" s="291"/>
      <c r="AF209" s="291"/>
      <c r="AG209" s="291"/>
      <c r="AH209" s="291"/>
      <c r="AI209" s="291"/>
      <c r="AJ209" s="291"/>
      <c r="AK209" s="291"/>
      <c r="AL209" s="291"/>
      <c r="AM209" s="291"/>
      <c r="AN209" s="291"/>
      <c r="AO209" s="291"/>
      <c r="AP209" s="291"/>
      <c r="AQ209" s="291"/>
      <c r="AR209" s="291"/>
      <c r="AS209" s="291"/>
      <c r="AT209" s="291"/>
      <c r="AU209" s="291"/>
      <c r="AV209" s="291"/>
      <c r="AW209" s="291"/>
      <c r="AX209" s="291"/>
    </row>
    <row r="210" spans="2:50" ht="23.1" customHeight="1" x14ac:dyDescent="0.3">
      <c r="B210" s="319"/>
      <c r="C210" s="320"/>
      <c r="D210" s="320"/>
      <c r="E210" s="320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  <c r="AC210" s="291"/>
      <c r="AD210" s="291"/>
      <c r="AE210" s="291"/>
      <c r="AF210" s="291"/>
      <c r="AG210" s="291"/>
      <c r="AH210" s="291"/>
      <c r="AI210" s="291"/>
      <c r="AJ210" s="291"/>
      <c r="AK210" s="291"/>
      <c r="AL210" s="291"/>
      <c r="AM210" s="291"/>
      <c r="AN210" s="291"/>
      <c r="AO210" s="291"/>
      <c r="AP210" s="291"/>
      <c r="AQ210" s="291"/>
      <c r="AR210" s="291"/>
      <c r="AS210" s="291"/>
      <c r="AT210" s="291"/>
      <c r="AU210" s="291"/>
      <c r="AV210" s="291"/>
      <c r="AW210" s="291"/>
      <c r="AX210" s="291"/>
    </row>
    <row r="211" spans="2:50" ht="23.1" customHeight="1" x14ac:dyDescent="0.3">
      <c r="B211" s="319"/>
      <c r="C211" s="320"/>
      <c r="D211" s="320"/>
      <c r="E211" s="320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S211" s="291"/>
      <c r="T211" s="291"/>
      <c r="U211" s="291"/>
      <c r="V211" s="291"/>
      <c r="W211" s="291"/>
      <c r="X211" s="291"/>
      <c r="Y211" s="291"/>
      <c r="Z211" s="291"/>
      <c r="AA211" s="291"/>
      <c r="AB211" s="291"/>
      <c r="AC211" s="291"/>
      <c r="AD211" s="291"/>
      <c r="AE211" s="291"/>
      <c r="AF211" s="291"/>
      <c r="AG211" s="291"/>
      <c r="AH211" s="291"/>
      <c r="AI211" s="291"/>
      <c r="AJ211" s="291"/>
      <c r="AK211" s="291"/>
      <c r="AL211" s="291"/>
      <c r="AM211" s="291"/>
      <c r="AN211" s="291"/>
      <c r="AO211" s="291"/>
      <c r="AP211" s="291"/>
      <c r="AQ211" s="291"/>
      <c r="AR211" s="291"/>
      <c r="AS211" s="291"/>
      <c r="AT211" s="291"/>
      <c r="AU211" s="291"/>
      <c r="AV211" s="291"/>
      <c r="AW211" s="291"/>
      <c r="AX211" s="291"/>
    </row>
    <row r="212" spans="2:50" ht="23.1" customHeight="1" x14ac:dyDescent="0.3">
      <c r="B212" s="319"/>
      <c r="C212" s="320"/>
      <c r="D212" s="320"/>
      <c r="E212" s="320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291"/>
      <c r="AI212" s="291"/>
      <c r="AJ212" s="291"/>
      <c r="AK212" s="291"/>
      <c r="AL212" s="291"/>
      <c r="AM212" s="291"/>
      <c r="AN212" s="291"/>
      <c r="AO212" s="291"/>
      <c r="AP212" s="291"/>
      <c r="AQ212" s="291"/>
      <c r="AR212" s="291"/>
      <c r="AS212" s="291"/>
      <c r="AT212" s="291"/>
      <c r="AU212" s="291"/>
      <c r="AV212" s="291"/>
      <c r="AW212" s="291"/>
      <c r="AX212" s="291"/>
    </row>
    <row r="213" spans="2:50" ht="23.1" customHeight="1" x14ac:dyDescent="0.3">
      <c r="B213" s="319"/>
      <c r="C213" s="320"/>
      <c r="D213" s="320"/>
      <c r="E213" s="320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S213" s="291"/>
      <c r="T213" s="291"/>
      <c r="U213" s="291"/>
      <c r="V213" s="291"/>
      <c r="W213" s="291"/>
      <c r="X213" s="291"/>
      <c r="Y213" s="291"/>
      <c r="Z213" s="291"/>
      <c r="AA213" s="291"/>
      <c r="AB213" s="291"/>
      <c r="AC213" s="291"/>
      <c r="AD213" s="291"/>
      <c r="AE213" s="291"/>
      <c r="AF213" s="291"/>
      <c r="AG213" s="291"/>
      <c r="AH213" s="291"/>
      <c r="AI213" s="291"/>
      <c r="AJ213" s="291"/>
      <c r="AK213" s="291"/>
      <c r="AL213" s="291"/>
      <c r="AM213" s="291"/>
      <c r="AN213" s="291"/>
      <c r="AO213" s="291"/>
      <c r="AP213" s="291"/>
      <c r="AQ213" s="291"/>
      <c r="AR213" s="291"/>
      <c r="AS213" s="291"/>
      <c r="AT213" s="291"/>
      <c r="AU213" s="291"/>
      <c r="AV213" s="291"/>
      <c r="AW213" s="291"/>
      <c r="AX213" s="291"/>
    </row>
    <row r="214" spans="2:50" ht="23.1" customHeight="1" x14ac:dyDescent="0.3">
      <c r="B214" s="319"/>
      <c r="C214" s="320"/>
      <c r="D214" s="320"/>
      <c r="E214" s="320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291"/>
      <c r="AI214" s="291"/>
      <c r="AJ214" s="291"/>
      <c r="AK214" s="291"/>
      <c r="AL214" s="291"/>
      <c r="AM214" s="291"/>
      <c r="AN214" s="291"/>
      <c r="AO214" s="291"/>
      <c r="AP214" s="291"/>
      <c r="AQ214" s="291"/>
      <c r="AR214" s="291"/>
      <c r="AS214" s="291"/>
      <c r="AT214" s="291"/>
      <c r="AU214" s="291"/>
      <c r="AV214" s="291"/>
      <c r="AW214" s="291"/>
      <c r="AX214" s="291"/>
    </row>
    <row r="215" spans="2:50" ht="23.1" customHeight="1" x14ac:dyDescent="0.3">
      <c r="B215" s="319"/>
      <c r="C215" s="320"/>
      <c r="D215" s="320"/>
      <c r="E215" s="320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S215" s="291"/>
      <c r="T215" s="291"/>
      <c r="U215" s="291"/>
      <c r="V215" s="291"/>
      <c r="W215" s="291"/>
      <c r="X215" s="291"/>
      <c r="Y215" s="291"/>
      <c r="Z215" s="291"/>
      <c r="AA215" s="291"/>
      <c r="AB215" s="291"/>
      <c r="AC215" s="291"/>
      <c r="AD215" s="291"/>
      <c r="AE215" s="291"/>
      <c r="AF215" s="291"/>
      <c r="AG215" s="291"/>
      <c r="AH215" s="291"/>
      <c r="AI215" s="291"/>
      <c r="AJ215" s="291"/>
      <c r="AK215" s="291"/>
      <c r="AL215" s="291"/>
      <c r="AM215" s="291"/>
      <c r="AN215" s="291"/>
      <c r="AO215" s="291"/>
      <c r="AP215" s="291"/>
      <c r="AQ215" s="291"/>
      <c r="AR215" s="291"/>
      <c r="AS215" s="291"/>
      <c r="AT215" s="291"/>
      <c r="AU215" s="291"/>
      <c r="AV215" s="291"/>
      <c r="AW215" s="291"/>
      <c r="AX215" s="291"/>
    </row>
    <row r="216" spans="2:50" ht="23.1" customHeight="1" x14ac:dyDescent="0.3">
      <c r="B216" s="319"/>
      <c r="C216" s="320"/>
      <c r="D216" s="320"/>
      <c r="E216" s="320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S216" s="291"/>
      <c r="T216" s="291"/>
      <c r="U216" s="291"/>
      <c r="V216" s="291"/>
      <c r="W216" s="291"/>
      <c r="X216" s="291"/>
      <c r="Y216" s="291"/>
      <c r="Z216" s="291"/>
      <c r="AA216" s="291"/>
      <c r="AB216" s="291"/>
      <c r="AC216" s="291"/>
      <c r="AD216" s="291"/>
      <c r="AE216" s="291"/>
      <c r="AF216" s="291"/>
      <c r="AG216" s="291"/>
      <c r="AH216" s="291"/>
      <c r="AI216" s="291"/>
      <c r="AJ216" s="291"/>
      <c r="AK216" s="291"/>
      <c r="AL216" s="291"/>
      <c r="AM216" s="291"/>
      <c r="AN216" s="291"/>
      <c r="AO216" s="291"/>
      <c r="AP216" s="291"/>
      <c r="AQ216" s="291"/>
      <c r="AR216" s="291"/>
      <c r="AS216" s="291"/>
      <c r="AT216" s="291"/>
      <c r="AU216" s="291"/>
      <c r="AV216" s="291"/>
      <c r="AW216" s="291"/>
      <c r="AX216" s="291"/>
    </row>
    <row r="217" spans="2:50" ht="23.1" customHeight="1" x14ac:dyDescent="0.3">
      <c r="B217" s="319"/>
      <c r="C217" s="320"/>
      <c r="D217" s="320"/>
      <c r="E217" s="320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291"/>
      <c r="AI217" s="291"/>
      <c r="AJ217" s="291"/>
      <c r="AK217" s="291"/>
      <c r="AL217" s="291"/>
      <c r="AM217" s="291"/>
      <c r="AN217" s="291"/>
      <c r="AO217" s="291"/>
      <c r="AP217" s="291"/>
      <c r="AQ217" s="291"/>
      <c r="AR217" s="291"/>
      <c r="AS217" s="291"/>
      <c r="AT217" s="291"/>
      <c r="AU217" s="291"/>
      <c r="AV217" s="291"/>
      <c r="AW217" s="291"/>
      <c r="AX217" s="291"/>
    </row>
    <row r="218" spans="2:50" ht="23.1" customHeight="1" x14ac:dyDescent="0.3">
      <c r="B218" s="319"/>
      <c r="C218" s="320"/>
      <c r="D218" s="320"/>
      <c r="E218" s="320"/>
      <c r="F218" s="291"/>
      <c r="G218" s="291"/>
      <c r="H218" s="291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S218" s="291"/>
      <c r="T218" s="291"/>
      <c r="U218" s="291"/>
      <c r="V218" s="291"/>
      <c r="W218" s="291"/>
      <c r="X218" s="291"/>
      <c r="Y218" s="291"/>
      <c r="Z218" s="291"/>
      <c r="AA218" s="291"/>
      <c r="AB218" s="291"/>
      <c r="AC218" s="291"/>
      <c r="AD218" s="291"/>
      <c r="AE218" s="291"/>
      <c r="AF218" s="291"/>
      <c r="AG218" s="291"/>
      <c r="AH218" s="291"/>
      <c r="AI218" s="291"/>
      <c r="AJ218" s="291"/>
      <c r="AK218" s="291"/>
      <c r="AL218" s="291"/>
      <c r="AM218" s="291"/>
      <c r="AN218" s="291"/>
      <c r="AO218" s="291"/>
      <c r="AP218" s="291"/>
      <c r="AQ218" s="291"/>
      <c r="AR218" s="291"/>
      <c r="AS218" s="291"/>
      <c r="AT218" s="291"/>
      <c r="AU218" s="291"/>
      <c r="AV218" s="291"/>
      <c r="AW218" s="291"/>
      <c r="AX218" s="291"/>
    </row>
    <row r="219" spans="2:50" ht="23.1" customHeight="1" x14ac:dyDescent="0.3">
      <c r="B219" s="319"/>
      <c r="C219" s="320"/>
      <c r="D219" s="320"/>
      <c r="E219" s="320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291"/>
      <c r="AB219" s="291"/>
      <c r="AC219" s="291"/>
      <c r="AD219" s="291"/>
      <c r="AE219" s="291"/>
      <c r="AF219" s="291"/>
      <c r="AG219" s="291"/>
      <c r="AH219" s="291"/>
      <c r="AI219" s="291"/>
      <c r="AJ219" s="291"/>
      <c r="AK219" s="291"/>
      <c r="AL219" s="291"/>
      <c r="AM219" s="291"/>
      <c r="AN219" s="291"/>
      <c r="AO219" s="291"/>
      <c r="AP219" s="291"/>
      <c r="AQ219" s="291"/>
      <c r="AR219" s="291"/>
      <c r="AS219" s="291"/>
      <c r="AT219" s="291"/>
      <c r="AU219" s="291"/>
      <c r="AV219" s="291"/>
      <c r="AW219" s="291"/>
      <c r="AX219" s="291"/>
    </row>
    <row r="220" spans="2:50" ht="23.1" customHeight="1" x14ac:dyDescent="0.3">
      <c r="B220" s="319"/>
      <c r="C220" s="320"/>
      <c r="D220" s="320"/>
      <c r="E220" s="320"/>
      <c r="F220" s="291"/>
      <c r="G220" s="291"/>
      <c r="H220" s="291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S220" s="291"/>
      <c r="T220" s="291"/>
      <c r="U220" s="291"/>
      <c r="V220" s="291"/>
      <c r="W220" s="291"/>
      <c r="X220" s="291"/>
      <c r="Y220" s="291"/>
      <c r="Z220" s="291"/>
      <c r="AA220" s="291"/>
      <c r="AB220" s="291"/>
      <c r="AC220" s="291"/>
      <c r="AD220" s="291"/>
      <c r="AE220" s="291"/>
      <c r="AF220" s="291"/>
      <c r="AG220" s="291"/>
      <c r="AH220" s="291"/>
      <c r="AI220" s="291"/>
      <c r="AJ220" s="291"/>
      <c r="AK220" s="291"/>
      <c r="AL220" s="291"/>
      <c r="AM220" s="291"/>
      <c r="AN220" s="291"/>
      <c r="AO220" s="291"/>
      <c r="AP220" s="291"/>
      <c r="AQ220" s="291"/>
      <c r="AR220" s="291"/>
      <c r="AS220" s="291"/>
      <c r="AT220" s="291"/>
      <c r="AU220" s="291"/>
      <c r="AV220" s="291"/>
      <c r="AW220" s="291"/>
      <c r="AX220" s="291"/>
    </row>
    <row r="221" spans="2:50" ht="23.1" customHeight="1" x14ac:dyDescent="0.3">
      <c r="B221" s="319"/>
      <c r="C221" s="320"/>
      <c r="D221" s="320"/>
      <c r="E221" s="320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  <c r="AA221" s="291"/>
      <c r="AB221" s="291"/>
      <c r="AC221" s="291"/>
      <c r="AD221" s="291"/>
      <c r="AE221" s="291"/>
      <c r="AF221" s="291"/>
      <c r="AG221" s="291"/>
      <c r="AH221" s="291"/>
      <c r="AI221" s="291"/>
      <c r="AJ221" s="291"/>
      <c r="AK221" s="291"/>
      <c r="AL221" s="291"/>
      <c r="AM221" s="291"/>
      <c r="AN221" s="291"/>
      <c r="AO221" s="291"/>
      <c r="AP221" s="291"/>
      <c r="AQ221" s="291"/>
      <c r="AR221" s="291"/>
      <c r="AS221" s="291"/>
      <c r="AT221" s="291"/>
      <c r="AU221" s="291"/>
      <c r="AV221" s="291"/>
      <c r="AW221" s="291"/>
      <c r="AX221" s="291"/>
    </row>
    <row r="222" spans="2:50" ht="23.1" customHeight="1" x14ac:dyDescent="0.3">
      <c r="B222" s="319"/>
      <c r="C222" s="320"/>
      <c r="D222" s="320"/>
      <c r="E222" s="320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S222" s="291"/>
      <c r="T222" s="291"/>
      <c r="U222" s="291"/>
      <c r="V222" s="291"/>
      <c r="W222" s="291"/>
      <c r="X222" s="291"/>
      <c r="Y222" s="291"/>
      <c r="Z222" s="291"/>
      <c r="AA222" s="291"/>
      <c r="AB222" s="291"/>
      <c r="AC222" s="291"/>
      <c r="AD222" s="291"/>
      <c r="AE222" s="291"/>
      <c r="AF222" s="291"/>
      <c r="AG222" s="291"/>
      <c r="AH222" s="291"/>
      <c r="AI222" s="291"/>
      <c r="AJ222" s="291"/>
      <c r="AK222" s="291"/>
      <c r="AL222" s="291"/>
      <c r="AM222" s="291"/>
      <c r="AN222" s="291"/>
      <c r="AO222" s="291"/>
      <c r="AP222" s="291"/>
      <c r="AQ222" s="291"/>
      <c r="AR222" s="291"/>
      <c r="AS222" s="291"/>
      <c r="AT222" s="291"/>
      <c r="AU222" s="291"/>
      <c r="AV222" s="291"/>
      <c r="AW222" s="291"/>
      <c r="AX222" s="291"/>
    </row>
    <row r="223" spans="2:50" ht="23.1" customHeight="1" x14ac:dyDescent="0.3">
      <c r="B223" s="319"/>
      <c r="C223" s="320"/>
      <c r="D223" s="320"/>
      <c r="E223" s="320"/>
      <c r="F223" s="291"/>
      <c r="G223" s="291"/>
      <c r="H223" s="291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S223" s="291"/>
      <c r="T223" s="291"/>
      <c r="U223" s="291"/>
      <c r="V223" s="291"/>
      <c r="W223" s="291"/>
      <c r="X223" s="291"/>
      <c r="Y223" s="291"/>
      <c r="Z223" s="291"/>
      <c r="AA223" s="291"/>
      <c r="AB223" s="291"/>
      <c r="AC223" s="291"/>
      <c r="AD223" s="291"/>
      <c r="AE223" s="291"/>
      <c r="AF223" s="291"/>
      <c r="AG223" s="291"/>
      <c r="AH223" s="291"/>
      <c r="AI223" s="291"/>
      <c r="AJ223" s="291"/>
      <c r="AK223" s="291"/>
      <c r="AL223" s="291"/>
      <c r="AM223" s="291"/>
      <c r="AN223" s="291"/>
      <c r="AO223" s="291"/>
      <c r="AP223" s="291"/>
      <c r="AQ223" s="291"/>
      <c r="AR223" s="291"/>
      <c r="AS223" s="291"/>
      <c r="AT223" s="291"/>
      <c r="AU223" s="291"/>
      <c r="AV223" s="291"/>
      <c r="AW223" s="291"/>
      <c r="AX223" s="291"/>
    </row>
    <row r="224" spans="2:50" ht="23.1" customHeight="1" x14ac:dyDescent="0.3">
      <c r="B224" s="319"/>
      <c r="C224" s="320"/>
      <c r="D224" s="320"/>
      <c r="E224" s="320"/>
      <c r="F224" s="291"/>
      <c r="G224" s="291"/>
      <c r="H224" s="291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S224" s="291"/>
      <c r="T224" s="291"/>
      <c r="U224" s="291"/>
      <c r="V224" s="291"/>
      <c r="W224" s="291"/>
      <c r="X224" s="291"/>
      <c r="Y224" s="291"/>
      <c r="Z224" s="291"/>
      <c r="AA224" s="291"/>
      <c r="AB224" s="291"/>
      <c r="AC224" s="291"/>
      <c r="AD224" s="291"/>
      <c r="AE224" s="291"/>
      <c r="AF224" s="291"/>
      <c r="AG224" s="291"/>
      <c r="AH224" s="291"/>
      <c r="AI224" s="291"/>
      <c r="AJ224" s="291"/>
      <c r="AK224" s="291"/>
      <c r="AL224" s="291"/>
      <c r="AM224" s="291"/>
      <c r="AN224" s="291"/>
      <c r="AO224" s="291"/>
      <c r="AP224" s="291"/>
      <c r="AQ224" s="291"/>
      <c r="AR224" s="291"/>
      <c r="AS224" s="291"/>
      <c r="AT224" s="291"/>
      <c r="AU224" s="291"/>
      <c r="AV224" s="291"/>
      <c r="AW224" s="291"/>
      <c r="AX224" s="291"/>
    </row>
    <row r="225" spans="2:50" ht="23.1" customHeight="1" x14ac:dyDescent="0.3">
      <c r="B225" s="319"/>
      <c r="C225" s="320"/>
      <c r="D225" s="320"/>
      <c r="E225" s="320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S225" s="291"/>
      <c r="T225" s="291"/>
      <c r="U225" s="291"/>
      <c r="V225" s="291"/>
      <c r="W225" s="291"/>
      <c r="X225" s="291"/>
      <c r="Y225" s="291"/>
      <c r="Z225" s="291"/>
      <c r="AA225" s="291"/>
      <c r="AB225" s="291"/>
      <c r="AC225" s="291"/>
      <c r="AD225" s="291"/>
      <c r="AE225" s="291"/>
      <c r="AF225" s="291"/>
      <c r="AG225" s="291"/>
      <c r="AH225" s="291"/>
      <c r="AI225" s="291"/>
      <c r="AJ225" s="291"/>
      <c r="AK225" s="291"/>
      <c r="AL225" s="291"/>
      <c r="AM225" s="291"/>
      <c r="AN225" s="291"/>
      <c r="AO225" s="291"/>
      <c r="AP225" s="291"/>
      <c r="AQ225" s="291"/>
      <c r="AR225" s="291"/>
      <c r="AS225" s="291"/>
      <c r="AT225" s="291"/>
      <c r="AU225" s="291"/>
      <c r="AV225" s="291"/>
      <c r="AW225" s="291"/>
      <c r="AX225" s="291"/>
    </row>
    <row r="226" spans="2:50" ht="23.1" customHeight="1" x14ac:dyDescent="0.3">
      <c r="B226" s="319"/>
      <c r="C226" s="320"/>
      <c r="D226" s="320"/>
      <c r="E226" s="320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  <c r="AC226" s="291"/>
      <c r="AD226" s="291"/>
      <c r="AE226" s="291"/>
      <c r="AF226" s="291"/>
      <c r="AG226" s="291"/>
      <c r="AH226" s="291"/>
      <c r="AI226" s="291"/>
      <c r="AJ226" s="291"/>
      <c r="AK226" s="291"/>
      <c r="AL226" s="291"/>
      <c r="AM226" s="291"/>
      <c r="AN226" s="291"/>
      <c r="AO226" s="291"/>
      <c r="AP226" s="291"/>
      <c r="AQ226" s="291"/>
      <c r="AR226" s="291"/>
      <c r="AS226" s="291"/>
      <c r="AT226" s="291"/>
      <c r="AU226" s="291"/>
      <c r="AV226" s="291"/>
      <c r="AW226" s="291"/>
      <c r="AX226" s="291"/>
    </row>
    <row r="227" spans="2:50" ht="23.1" customHeight="1" x14ac:dyDescent="0.3">
      <c r="B227" s="319"/>
      <c r="C227" s="320"/>
      <c r="D227" s="320"/>
      <c r="E227" s="320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S227" s="291"/>
      <c r="T227" s="291"/>
      <c r="U227" s="291"/>
      <c r="V227" s="291"/>
      <c r="W227" s="291"/>
      <c r="X227" s="291"/>
      <c r="Y227" s="291"/>
      <c r="Z227" s="291"/>
      <c r="AA227" s="291"/>
      <c r="AB227" s="291"/>
      <c r="AC227" s="291"/>
      <c r="AD227" s="291"/>
      <c r="AE227" s="291"/>
      <c r="AF227" s="291"/>
      <c r="AG227" s="291"/>
      <c r="AH227" s="291"/>
      <c r="AI227" s="291"/>
      <c r="AJ227" s="291"/>
      <c r="AK227" s="291"/>
      <c r="AL227" s="291"/>
      <c r="AM227" s="291"/>
      <c r="AN227" s="291"/>
      <c r="AO227" s="291"/>
      <c r="AP227" s="291"/>
      <c r="AQ227" s="291"/>
      <c r="AR227" s="291"/>
      <c r="AS227" s="291"/>
      <c r="AT227" s="291"/>
      <c r="AU227" s="291"/>
      <c r="AV227" s="291"/>
      <c r="AW227" s="291"/>
      <c r="AX227" s="291"/>
    </row>
    <row r="228" spans="2:50" ht="23.1" customHeight="1" x14ac:dyDescent="0.3">
      <c r="B228" s="319"/>
      <c r="C228" s="320"/>
      <c r="D228" s="320"/>
      <c r="E228" s="320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S228" s="291"/>
      <c r="T228" s="291"/>
      <c r="U228" s="291"/>
      <c r="V228" s="291"/>
      <c r="W228" s="291"/>
      <c r="X228" s="291"/>
      <c r="Y228" s="291"/>
      <c r="Z228" s="291"/>
      <c r="AA228" s="291"/>
      <c r="AB228" s="291"/>
      <c r="AC228" s="291"/>
      <c r="AD228" s="291"/>
      <c r="AE228" s="291"/>
      <c r="AF228" s="291"/>
      <c r="AG228" s="291"/>
      <c r="AH228" s="291"/>
      <c r="AI228" s="291"/>
      <c r="AJ228" s="291"/>
      <c r="AK228" s="291"/>
      <c r="AL228" s="291"/>
      <c r="AM228" s="291"/>
      <c r="AN228" s="291"/>
      <c r="AO228" s="291"/>
      <c r="AP228" s="291"/>
      <c r="AQ228" s="291"/>
      <c r="AR228" s="291"/>
      <c r="AS228" s="291"/>
      <c r="AT228" s="291"/>
      <c r="AU228" s="291"/>
      <c r="AV228" s="291"/>
      <c r="AW228" s="291"/>
      <c r="AX228" s="291"/>
    </row>
    <row r="229" spans="2:50" ht="23.1" customHeight="1" x14ac:dyDescent="0.3">
      <c r="B229" s="319"/>
      <c r="C229" s="320"/>
      <c r="D229" s="320"/>
      <c r="E229" s="320"/>
      <c r="F229" s="291"/>
      <c r="G229" s="291"/>
      <c r="H229" s="291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S229" s="291"/>
      <c r="T229" s="291"/>
      <c r="U229" s="291"/>
      <c r="V229" s="291"/>
      <c r="W229" s="291"/>
      <c r="X229" s="291"/>
      <c r="Y229" s="291"/>
      <c r="Z229" s="291"/>
      <c r="AA229" s="291"/>
      <c r="AB229" s="291"/>
      <c r="AC229" s="291"/>
      <c r="AD229" s="291"/>
      <c r="AE229" s="291"/>
      <c r="AF229" s="291"/>
      <c r="AG229" s="291"/>
      <c r="AH229" s="291"/>
      <c r="AI229" s="291"/>
      <c r="AJ229" s="291"/>
      <c r="AK229" s="291"/>
      <c r="AL229" s="291"/>
      <c r="AM229" s="291"/>
      <c r="AN229" s="291"/>
      <c r="AO229" s="291"/>
      <c r="AP229" s="291"/>
      <c r="AQ229" s="291"/>
      <c r="AR229" s="291"/>
      <c r="AS229" s="291"/>
      <c r="AT229" s="291"/>
      <c r="AU229" s="291"/>
      <c r="AV229" s="291"/>
      <c r="AW229" s="291"/>
      <c r="AX229" s="291"/>
    </row>
    <row r="230" spans="2:50" ht="23.1" customHeight="1" x14ac:dyDescent="0.3">
      <c r="B230" s="319"/>
      <c r="C230" s="320"/>
      <c r="D230" s="320"/>
      <c r="E230" s="320"/>
      <c r="F230" s="291"/>
      <c r="G230" s="291"/>
      <c r="H230" s="291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S230" s="291"/>
      <c r="T230" s="291"/>
      <c r="U230" s="291"/>
      <c r="V230" s="291"/>
      <c r="W230" s="291"/>
      <c r="X230" s="291"/>
      <c r="Y230" s="291"/>
      <c r="Z230" s="291"/>
      <c r="AA230" s="291"/>
      <c r="AB230" s="291"/>
      <c r="AC230" s="291"/>
      <c r="AD230" s="291"/>
      <c r="AE230" s="291"/>
      <c r="AF230" s="291"/>
      <c r="AG230" s="291"/>
      <c r="AH230" s="291"/>
      <c r="AI230" s="291"/>
      <c r="AJ230" s="291"/>
      <c r="AK230" s="291"/>
      <c r="AL230" s="291"/>
      <c r="AM230" s="291"/>
      <c r="AN230" s="291"/>
      <c r="AO230" s="291"/>
      <c r="AP230" s="291"/>
      <c r="AQ230" s="291"/>
      <c r="AR230" s="291"/>
      <c r="AS230" s="291"/>
      <c r="AT230" s="291"/>
      <c r="AU230" s="291"/>
      <c r="AV230" s="291"/>
      <c r="AW230" s="291"/>
      <c r="AX230" s="291"/>
    </row>
    <row r="231" spans="2:50" ht="23.1" customHeight="1" x14ac:dyDescent="0.3">
      <c r="B231" s="319"/>
      <c r="C231" s="320"/>
      <c r="D231" s="320"/>
      <c r="E231" s="320"/>
      <c r="F231" s="291"/>
      <c r="G231" s="291"/>
      <c r="H231" s="291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S231" s="291"/>
      <c r="T231" s="291"/>
      <c r="U231" s="291"/>
      <c r="V231" s="291"/>
      <c r="W231" s="291"/>
      <c r="X231" s="291"/>
      <c r="Y231" s="291"/>
      <c r="Z231" s="291"/>
      <c r="AA231" s="291"/>
      <c r="AB231" s="291"/>
      <c r="AC231" s="291"/>
      <c r="AD231" s="291"/>
      <c r="AE231" s="291"/>
      <c r="AF231" s="291"/>
      <c r="AG231" s="291"/>
      <c r="AH231" s="291"/>
      <c r="AI231" s="291"/>
      <c r="AJ231" s="291"/>
      <c r="AK231" s="291"/>
      <c r="AL231" s="291"/>
      <c r="AM231" s="291"/>
      <c r="AN231" s="291"/>
      <c r="AO231" s="291"/>
      <c r="AP231" s="291"/>
      <c r="AQ231" s="291"/>
      <c r="AR231" s="291"/>
      <c r="AS231" s="291"/>
      <c r="AT231" s="291"/>
      <c r="AU231" s="291"/>
      <c r="AV231" s="291"/>
      <c r="AW231" s="291"/>
      <c r="AX231" s="291"/>
    </row>
    <row r="232" spans="2:50" ht="23.1" customHeight="1" x14ac:dyDescent="0.3">
      <c r="B232" s="319"/>
      <c r="C232" s="320"/>
      <c r="D232" s="320"/>
      <c r="E232" s="320"/>
      <c r="F232" s="291"/>
      <c r="G232" s="291"/>
      <c r="H232" s="291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S232" s="291"/>
      <c r="T232" s="291"/>
      <c r="U232" s="291"/>
      <c r="V232" s="291"/>
      <c r="W232" s="291"/>
      <c r="X232" s="291"/>
      <c r="Y232" s="291"/>
      <c r="Z232" s="291"/>
      <c r="AA232" s="291"/>
      <c r="AB232" s="291"/>
      <c r="AC232" s="291"/>
      <c r="AD232" s="291"/>
      <c r="AE232" s="291"/>
      <c r="AF232" s="291"/>
      <c r="AG232" s="291"/>
      <c r="AH232" s="291"/>
      <c r="AI232" s="291"/>
      <c r="AJ232" s="291"/>
      <c r="AK232" s="291"/>
      <c r="AL232" s="291"/>
      <c r="AM232" s="291"/>
      <c r="AN232" s="291"/>
      <c r="AO232" s="291"/>
      <c r="AP232" s="291"/>
      <c r="AQ232" s="291"/>
      <c r="AR232" s="291"/>
      <c r="AS232" s="291"/>
      <c r="AT232" s="291"/>
      <c r="AU232" s="291"/>
      <c r="AV232" s="291"/>
      <c r="AW232" s="291"/>
      <c r="AX232" s="291"/>
    </row>
    <row r="233" spans="2:50" ht="23.1" customHeight="1" x14ac:dyDescent="0.3">
      <c r="B233" s="319"/>
      <c r="C233" s="320"/>
      <c r="D233" s="320"/>
      <c r="E233" s="320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  <c r="AA233" s="291"/>
      <c r="AB233" s="291"/>
      <c r="AC233" s="291"/>
      <c r="AD233" s="291"/>
      <c r="AE233" s="291"/>
      <c r="AF233" s="291"/>
      <c r="AG233" s="291"/>
      <c r="AH233" s="291"/>
      <c r="AI233" s="291"/>
      <c r="AJ233" s="291"/>
      <c r="AK233" s="291"/>
      <c r="AL233" s="291"/>
      <c r="AM233" s="291"/>
      <c r="AN233" s="291"/>
      <c r="AO233" s="291"/>
      <c r="AP233" s="291"/>
      <c r="AQ233" s="291"/>
      <c r="AR233" s="291"/>
      <c r="AS233" s="291"/>
      <c r="AT233" s="291"/>
      <c r="AU233" s="291"/>
      <c r="AV233" s="291"/>
      <c r="AW233" s="291"/>
      <c r="AX233" s="291"/>
    </row>
    <row r="234" spans="2:50" ht="23.1" customHeight="1" x14ac:dyDescent="0.3">
      <c r="B234" s="319"/>
      <c r="C234" s="320"/>
      <c r="D234" s="320"/>
      <c r="E234" s="320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S234" s="291"/>
      <c r="T234" s="291"/>
      <c r="U234" s="291"/>
      <c r="V234" s="291"/>
      <c r="W234" s="291"/>
      <c r="X234" s="291"/>
      <c r="Y234" s="291"/>
      <c r="Z234" s="291"/>
      <c r="AA234" s="291"/>
      <c r="AB234" s="291"/>
      <c r="AC234" s="291"/>
      <c r="AD234" s="291"/>
      <c r="AE234" s="291"/>
      <c r="AF234" s="291"/>
      <c r="AG234" s="291"/>
      <c r="AH234" s="291"/>
      <c r="AI234" s="291"/>
      <c r="AJ234" s="291"/>
      <c r="AK234" s="291"/>
      <c r="AL234" s="291"/>
      <c r="AM234" s="291"/>
      <c r="AN234" s="291"/>
      <c r="AO234" s="291"/>
      <c r="AP234" s="291"/>
      <c r="AQ234" s="291"/>
      <c r="AR234" s="291"/>
      <c r="AS234" s="291"/>
      <c r="AT234" s="291"/>
      <c r="AU234" s="291"/>
      <c r="AV234" s="291"/>
      <c r="AW234" s="291"/>
      <c r="AX234" s="291"/>
    </row>
    <row r="235" spans="2:50" ht="23.1" customHeight="1" x14ac:dyDescent="0.3">
      <c r="B235" s="319"/>
      <c r="C235" s="320"/>
      <c r="D235" s="320"/>
      <c r="E235" s="320"/>
      <c r="F235" s="291"/>
      <c r="G235" s="291"/>
      <c r="H235" s="291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S235" s="291"/>
      <c r="T235" s="291"/>
      <c r="U235" s="291"/>
      <c r="V235" s="291"/>
      <c r="W235" s="291"/>
      <c r="X235" s="291"/>
      <c r="Y235" s="291"/>
      <c r="Z235" s="291"/>
      <c r="AA235" s="291"/>
      <c r="AB235" s="291"/>
      <c r="AC235" s="291"/>
      <c r="AD235" s="291"/>
      <c r="AE235" s="291"/>
      <c r="AF235" s="291"/>
      <c r="AG235" s="291"/>
      <c r="AH235" s="291"/>
      <c r="AI235" s="291"/>
      <c r="AJ235" s="291"/>
      <c r="AK235" s="291"/>
      <c r="AL235" s="291"/>
      <c r="AM235" s="291"/>
      <c r="AN235" s="291"/>
      <c r="AO235" s="291"/>
      <c r="AP235" s="291"/>
      <c r="AQ235" s="291"/>
      <c r="AR235" s="291"/>
      <c r="AS235" s="291"/>
      <c r="AT235" s="291"/>
      <c r="AU235" s="291"/>
      <c r="AV235" s="291"/>
      <c r="AW235" s="291"/>
      <c r="AX235" s="291"/>
    </row>
    <row r="236" spans="2:50" ht="23.1" customHeight="1" x14ac:dyDescent="0.3">
      <c r="B236" s="319"/>
      <c r="C236" s="320"/>
      <c r="D236" s="320"/>
      <c r="E236" s="320"/>
      <c r="F236" s="291"/>
      <c r="G236" s="291"/>
      <c r="H236" s="291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S236" s="291"/>
      <c r="T236" s="291"/>
      <c r="U236" s="291"/>
      <c r="V236" s="291"/>
      <c r="W236" s="291"/>
      <c r="X236" s="291"/>
      <c r="Y236" s="291"/>
      <c r="Z236" s="291"/>
      <c r="AA236" s="291"/>
      <c r="AB236" s="291"/>
      <c r="AC236" s="291"/>
      <c r="AD236" s="291"/>
      <c r="AE236" s="291"/>
      <c r="AF236" s="291"/>
      <c r="AG236" s="291"/>
      <c r="AH236" s="291"/>
      <c r="AI236" s="291"/>
      <c r="AJ236" s="291"/>
      <c r="AK236" s="291"/>
      <c r="AL236" s="291"/>
      <c r="AM236" s="291"/>
      <c r="AN236" s="291"/>
      <c r="AO236" s="291"/>
      <c r="AP236" s="291"/>
      <c r="AQ236" s="291"/>
      <c r="AR236" s="291"/>
      <c r="AS236" s="291"/>
      <c r="AT236" s="291"/>
      <c r="AU236" s="291"/>
      <c r="AV236" s="291"/>
      <c r="AW236" s="291"/>
      <c r="AX236" s="291"/>
    </row>
    <row r="237" spans="2:50" ht="23.1" customHeight="1" x14ac:dyDescent="0.3">
      <c r="B237" s="319"/>
      <c r="C237" s="320"/>
      <c r="D237" s="320"/>
      <c r="E237" s="320"/>
      <c r="F237" s="291"/>
      <c r="G237" s="291"/>
      <c r="H237" s="291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S237" s="291"/>
      <c r="T237" s="291"/>
      <c r="U237" s="291"/>
      <c r="V237" s="291"/>
      <c r="W237" s="291"/>
      <c r="X237" s="291"/>
      <c r="Y237" s="291"/>
      <c r="Z237" s="291"/>
      <c r="AA237" s="291"/>
      <c r="AB237" s="291"/>
      <c r="AC237" s="291"/>
      <c r="AD237" s="291"/>
      <c r="AE237" s="291"/>
      <c r="AF237" s="291"/>
      <c r="AG237" s="291"/>
      <c r="AH237" s="291"/>
      <c r="AI237" s="291"/>
      <c r="AJ237" s="291"/>
      <c r="AK237" s="291"/>
      <c r="AL237" s="291"/>
      <c r="AM237" s="291"/>
      <c r="AN237" s="291"/>
      <c r="AO237" s="291"/>
      <c r="AP237" s="291"/>
      <c r="AQ237" s="291"/>
      <c r="AR237" s="291"/>
      <c r="AS237" s="291"/>
      <c r="AT237" s="291"/>
      <c r="AU237" s="291"/>
      <c r="AV237" s="291"/>
      <c r="AW237" s="291"/>
      <c r="AX237" s="291"/>
    </row>
    <row r="238" spans="2:50" ht="23.1" customHeight="1" x14ac:dyDescent="0.3">
      <c r="B238" s="319"/>
      <c r="C238" s="320"/>
      <c r="D238" s="320"/>
      <c r="E238" s="320"/>
      <c r="F238" s="291"/>
      <c r="G238" s="291"/>
      <c r="H238" s="291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S238" s="291"/>
      <c r="T238" s="291"/>
      <c r="U238" s="291"/>
      <c r="V238" s="291"/>
      <c r="W238" s="291"/>
      <c r="X238" s="291"/>
      <c r="Y238" s="291"/>
      <c r="Z238" s="291"/>
      <c r="AA238" s="291"/>
      <c r="AB238" s="291"/>
      <c r="AC238" s="291"/>
      <c r="AD238" s="291"/>
      <c r="AE238" s="291"/>
      <c r="AF238" s="291"/>
      <c r="AG238" s="291"/>
      <c r="AH238" s="291"/>
      <c r="AI238" s="291"/>
      <c r="AJ238" s="291"/>
      <c r="AK238" s="291"/>
      <c r="AL238" s="291"/>
      <c r="AM238" s="291"/>
      <c r="AN238" s="291"/>
      <c r="AO238" s="291"/>
      <c r="AP238" s="291"/>
      <c r="AQ238" s="291"/>
      <c r="AR238" s="291"/>
      <c r="AS238" s="291"/>
      <c r="AT238" s="291"/>
      <c r="AU238" s="291"/>
      <c r="AV238" s="291"/>
      <c r="AW238" s="291"/>
      <c r="AX238" s="291"/>
    </row>
    <row r="239" spans="2:50" ht="23.1" customHeight="1" x14ac:dyDescent="0.3">
      <c r="B239" s="319"/>
      <c r="C239" s="320"/>
      <c r="D239" s="320"/>
      <c r="E239" s="320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S239" s="291"/>
      <c r="T239" s="291"/>
      <c r="U239" s="291"/>
      <c r="V239" s="291"/>
      <c r="W239" s="291"/>
      <c r="X239" s="291"/>
      <c r="Y239" s="291"/>
      <c r="Z239" s="291"/>
      <c r="AA239" s="291"/>
      <c r="AB239" s="291"/>
      <c r="AC239" s="291"/>
      <c r="AD239" s="291"/>
      <c r="AE239" s="291"/>
      <c r="AF239" s="291"/>
      <c r="AG239" s="291"/>
      <c r="AH239" s="291"/>
      <c r="AI239" s="291"/>
      <c r="AJ239" s="291"/>
      <c r="AK239" s="291"/>
      <c r="AL239" s="291"/>
      <c r="AM239" s="291"/>
      <c r="AN239" s="291"/>
      <c r="AO239" s="291"/>
      <c r="AP239" s="291"/>
      <c r="AQ239" s="291"/>
      <c r="AR239" s="291"/>
      <c r="AS239" s="291"/>
      <c r="AT239" s="291"/>
      <c r="AU239" s="291"/>
      <c r="AV239" s="291"/>
      <c r="AW239" s="291"/>
      <c r="AX239" s="291"/>
    </row>
    <row r="240" spans="2:50" ht="23.1" customHeight="1" x14ac:dyDescent="0.3">
      <c r="B240" s="319"/>
      <c r="C240" s="320"/>
      <c r="D240" s="320"/>
      <c r="E240" s="320"/>
      <c r="F240" s="291"/>
      <c r="G240" s="291"/>
      <c r="H240" s="291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S240" s="291"/>
      <c r="T240" s="291"/>
      <c r="U240" s="291"/>
      <c r="V240" s="291"/>
      <c r="W240" s="291"/>
      <c r="X240" s="291"/>
      <c r="Y240" s="291"/>
      <c r="Z240" s="291"/>
      <c r="AA240" s="291"/>
      <c r="AB240" s="291"/>
      <c r="AC240" s="291"/>
      <c r="AD240" s="291"/>
      <c r="AE240" s="291"/>
      <c r="AF240" s="291"/>
      <c r="AG240" s="291"/>
      <c r="AH240" s="291"/>
      <c r="AI240" s="291"/>
      <c r="AJ240" s="291"/>
      <c r="AK240" s="291"/>
      <c r="AL240" s="291"/>
      <c r="AM240" s="291"/>
      <c r="AN240" s="291"/>
      <c r="AO240" s="291"/>
      <c r="AP240" s="291"/>
      <c r="AQ240" s="291"/>
      <c r="AR240" s="291"/>
      <c r="AS240" s="291"/>
      <c r="AT240" s="291"/>
      <c r="AU240" s="291"/>
      <c r="AV240" s="291"/>
      <c r="AW240" s="291"/>
      <c r="AX240" s="291"/>
    </row>
    <row r="241" spans="2:50" ht="23.1" customHeight="1" x14ac:dyDescent="0.3">
      <c r="B241" s="319"/>
      <c r="C241" s="320"/>
      <c r="D241" s="320"/>
      <c r="E241" s="320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S241" s="291"/>
      <c r="T241" s="291"/>
      <c r="U241" s="291"/>
      <c r="V241" s="291"/>
      <c r="W241" s="291"/>
      <c r="X241" s="291"/>
      <c r="Y241" s="291"/>
      <c r="Z241" s="291"/>
      <c r="AA241" s="291"/>
      <c r="AB241" s="291"/>
      <c r="AC241" s="291"/>
      <c r="AD241" s="291"/>
      <c r="AE241" s="291"/>
      <c r="AF241" s="291"/>
      <c r="AG241" s="291"/>
      <c r="AH241" s="291"/>
      <c r="AI241" s="291"/>
      <c r="AJ241" s="291"/>
      <c r="AK241" s="291"/>
      <c r="AL241" s="291"/>
      <c r="AM241" s="291"/>
      <c r="AN241" s="291"/>
      <c r="AO241" s="291"/>
      <c r="AP241" s="291"/>
      <c r="AQ241" s="291"/>
      <c r="AR241" s="291"/>
      <c r="AS241" s="291"/>
      <c r="AT241" s="291"/>
      <c r="AU241" s="291"/>
      <c r="AV241" s="291"/>
      <c r="AW241" s="291"/>
      <c r="AX241" s="291"/>
    </row>
    <row r="242" spans="2:50" ht="23.1" customHeight="1" x14ac:dyDescent="0.3">
      <c r="B242" s="319"/>
      <c r="C242" s="320"/>
      <c r="D242" s="320"/>
      <c r="E242" s="320"/>
      <c r="F242" s="291"/>
      <c r="G242" s="291"/>
      <c r="H242" s="291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S242" s="291"/>
      <c r="T242" s="291"/>
      <c r="U242" s="291"/>
      <c r="V242" s="291"/>
      <c r="W242" s="291"/>
      <c r="X242" s="291"/>
      <c r="Y242" s="291"/>
      <c r="Z242" s="291"/>
      <c r="AA242" s="291"/>
      <c r="AB242" s="291"/>
      <c r="AC242" s="291"/>
      <c r="AD242" s="291"/>
      <c r="AE242" s="291"/>
      <c r="AF242" s="291"/>
      <c r="AG242" s="291"/>
      <c r="AH242" s="291"/>
      <c r="AI242" s="291"/>
      <c r="AJ242" s="291"/>
      <c r="AK242" s="291"/>
      <c r="AL242" s="291"/>
      <c r="AM242" s="291"/>
      <c r="AN242" s="291"/>
      <c r="AO242" s="291"/>
      <c r="AP242" s="291"/>
      <c r="AQ242" s="291"/>
      <c r="AR242" s="291"/>
      <c r="AS242" s="291"/>
      <c r="AT242" s="291"/>
      <c r="AU242" s="291"/>
      <c r="AV242" s="291"/>
      <c r="AW242" s="291"/>
      <c r="AX242" s="291"/>
    </row>
    <row r="243" spans="2:50" ht="23.1" customHeight="1" x14ac:dyDescent="0.3">
      <c r="B243" s="319"/>
      <c r="C243" s="320"/>
      <c r="D243" s="320"/>
      <c r="E243" s="320"/>
      <c r="F243" s="291"/>
      <c r="G243" s="291"/>
      <c r="H243" s="291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S243" s="291"/>
      <c r="T243" s="291"/>
      <c r="U243" s="291"/>
      <c r="V243" s="291"/>
      <c r="W243" s="291"/>
      <c r="X243" s="291"/>
      <c r="Y243" s="291"/>
      <c r="Z243" s="291"/>
      <c r="AA243" s="291"/>
      <c r="AB243" s="291"/>
      <c r="AC243" s="291"/>
      <c r="AD243" s="291"/>
      <c r="AE243" s="291"/>
      <c r="AF243" s="291"/>
      <c r="AG243" s="291"/>
      <c r="AH243" s="291"/>
      <c r="AI243" s="291"/>
      <c r="AJ243" s="291"/>
      <c r="AK243" s="291"/>
      <c r="AL243" s="291"/>
      <c r="AM243" s="291"/>
      <c r="AN243" s="291"/>
      <c r="AO243" s="291"/>
      <c r="AP243" s="291"/>
      <c r="AQ243" s="291"/>
      <c r="AR243" s="291"/>
      <c r="AS243" s="291"/>
      <c r="AT243" s="291"/>
      <c r="AU243" s="291"/>
      <c r="AV243" s="291"/>
      <c r="AW243" s="291"/>
      <c r="AX243" s="291"/>
    </row>
    <row r="244" spans="2:50" ht="23.1" customHeight="1" x14ac:dyDescent="0.3">
      <c r="B244" s="319"/>
      <c r="C244" s="320"/>
      <c r="D244" s="320"/>
      <c r="E244" s="320"/>
      <c r="F244" s="291"/>
      <c r="G244" s="291"/>
      <c r="H244" s="291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S244" s="291"/>
      <c r="T244" s="291"/>
      <c r="U244" s="291"/>
      <c r="V244" s="291"/>
      <c r="W244" s="291"/>
      <c r="X244" s="291"/>
      <c r="Y244" s="291"/>
      <c r="Z244" s="291"/>
      <c r="AA244" s="291"/>
      <c r="AB244" s="291"/>
      <c r="AC244" s="291"/>
      <c r="AD244" s="291"/>
      <c r="AE244" s="291"/>
      <c r="AF244" s="291"/>
      <c r="AG244" s="291"/>
      <c r="AH244" s="291"/>
      <c r="AI244" s="291"/>
      <c r="AJ244" s="291"/>
      <c r="AK244" s="291"/>
      <c r="AL244" s="291"/>
      <c r="AM244" s="291"/>
      <c r="AN244" s="291"/>
      <c r="AO244" s="291"/>
      <c r="AP244" s="291"/>
      <c r="AQ244" s="291"/>
      <c r="AR244" s="291"/>
      <c r="AS244" s="291"/>
      <c r="AT244" s="291"/>
      <c r="AU244" s="291"/>
      <c r="AV244" s="291"/>
      <c r="AW244" s="291"/>
      <c r="AX244" s="291"/>
    </row>
    <row r="245" spans="2:50" ht="23.1" customHeight="1" x14ac:dyDescent="0.3">
      <c r="B245" s="319"/>
      <c r="C245" s="320"/>
      <c r="D245" s="320"/>
      <c r="E245" s="320"/>
      <c r="F245" s="291"/>
      <c r="G245" s="291"/>
      <c r="H245" s="291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S245" s="291"/>
      <c r="T245" s="291"/>
      <c r="U245" s="291"/>
      <c r="V245" s="291"/>
      <c r="W245" s="291"/>
      <c r="X245" s="291"/>
      <c r="Y245" s="291"/>
      <c r="Z245" s="291"/>
      <c r="AA245" s="291"/>
      <c r="AB245" s="291"/>
      <c r="AC245" s="291"/>
      <c r="AD245" s="291"/>
      <c r="AE245" s="291"/>
      <c r="AF245" s="291"/>
      <c r="AG245" s="291"/>
      <c r="AH245" s="291"/>
      <c r="AI245" s="291"/>
      <c r="AJ245" s="291"/>
      <c r="AK245" s="291"/>
      <c r="AL245" s="291"/>
      <c r="AM245" s="291"/>
      <c r="AN245" s="291"/>
      <c r="AO245" s="291"/>
      <c r="AP245" s="291"/>
      <c r="AQ245" s="291"/>
      <c r="AR245" s="291"/>
      <c r="AS245" s="291"/>
      <c r="AT245" s="291"/>
      <c r="AU245" s="291"/>
      <c r="AV245" s="291"/>
      <c r="AW245" s="291"/>
      <c r="AX245" s="291"/>
    </row>
    <row r="246" spans="2:50" ht="23.1" customHeight="1" x14ac:dyDescent="0.3">
      <c r="B246" s="319"/>
      <c r="C246" s="320"/>
      <c r="D246" s="320"/>
      <c r="E246" s="320"/>
      <c r="F246" s="291"/>
      <c r="G246" s="291"/>
      <c r="H246" s="291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S246" s="291"/>
      <c r="T246" s="291"/>
      <c r="U246" s="291"/>
      <c r="V246" s="291"/>
      <c r="W246" s="291"/>
      <c r="X246" s="291"/>
      <c r="Y246" s="291"/>
      <c r="Z246" s="291"/>
      <c r="AA246" s="291"/>
      <c r="AB246" s="291"/>
      <c r="AC246" s="291"/>
      <c r="AD246" s="291"/>
      <c r="AE246" s="291"/>
      <c r="AF246" s="291"/>
      <c r="AG246" s="291"/>
      <c r="AH246" s="291"/>
      <c r="AI246" s="291"/>
      <c r="AJ246" s="291"/>
      <c r="AK246" s="291"/>
      <c r="AL246" s="291"/>
      <c r="AM246" s="291"/>
      <c r="AN246" s="291"/>
      <c r="AO246" s="291"/>
      <c r="AP246" s="291"/>
      <c r="AQ246" s="291"/>
      <c r="AR246" s="291"/>
      <c r="AS246" s="291"/>
      <c r="AT246" s="291"/>
      <c r="AU246" s="291"/>
      <c r="AV246" s="291"/>
      <c r="AW246" s="291"/>
      <c r="AX246" s="291"/>
    </row>
    <row r="247" spans="2:50" ht="23.1" customHeight="1" x14ac:dyDescent="0.3">
      <c r="B247" s="319"/>
      <c r="C247" s="320"/>
      <c r="D247" s="320"/>
      <c r="E247" s="320"/>
      <c r="F247" s="291"/>
      <c r="G247" s="291"/>
      <c r="H247" s="291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S247" s="291"/>
      <c r="T247" s="291"/>
      <c r="U247" s="291"/>
      <c r="V247" s="291"/>
      <c r="W247" s="291"/>
      <c r="X247" s="291"/>
      <c r="Y247" s="291"/>
      <c r="Z247" s="291"/>
      <c r="AA247" s="291"/>
      <c r="AB247" s="291"/>
      <c r="AC247" s="291"/>
      <c r="AD247" s="291"/>
      <c r="AE247" s="291"/>
      <c r="AF247" s="291"/>
      <c r="AG247" s="291"/>
      <c r="AH247" s="291"/>
      <c r="AI247" s="291"/>
      <c r="AJ247" s="291"/>
      <c r="AK247" s="291"/>
      <c r="AL247" s="291"/>
      <c r="AM247" s="291"/>
      <c r="AN247" s="291"/>
      <c r="AO247" s="291"/>
      <c r="AP247" s="291"/>
      <c r="AQ247" s="291"/>
      <c r="AR247" s="291"/>
      <c r="AS247" s="291"/>
      <c r="AT247" s="291"/>
      <c r="AU247" s="291"/>
      <c r="AV247" s="291"/>
      <c r="AW247" s="291"/>
      <c r="AX247" s="291"/>
    </row>
    <row r="248" spans="2:50" ht="23.1" customHeight="1" x14ac:dyDescent="0.3">
      <c r="B248" s="319"/>
      <c r="C248" s="320"/>
      <c r="D248" s="320"/>
      <c r="E248" s="320"/>
      <c r="F248" s="291"/>
      <c r="G248" s="291"/>
      <c r="H248" s="291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S248" s="291"/>
      <c r="T248" s="291"/>
      <c r="U248" s="291"/>
      <c r="V248" s="291"/>
      <c r="W248" s="291"/>
      <c r="X248" s="291"/>
      <c r="Y248" s="291"/>
      <c r="Z248" s="291"/>
      <c r="AA248" s="291"/>
      <c r="AB248" s="291"/>
      <c r="AC248" s="291"/>
      <c r="AD248" s="291"/>
      <c r="AE248" s="291"/>
      <c r="AF248" s="291"/>
      <c r="AG248" s="291"/>
      <c r="AH248" s="291"/>
      <c r="AI248" s="291"/>
      <c r="AJ248" s="291"/>
      <c r="AK248" s="291"/>
      <c r="AL248" s="291"/>
      <c r="AM248" s="291"/>
      <c r="AN248" s="291"/>
      <c r="AO248" s="291"/>
      <c r="AP248" s="291"/>
      <c r="AQ248" s="291"/>
      <c r="AR248" s="291"/>
      <c r="AS248" s="291"/>
      <c r="AT248" s="291"/>
      <c r="AU248" s="291"/>
      <c r="AV248" s="291"/>
      <c r="AW248" s="291"/>
      <c r="AX248" s="291"/>
    </row>
    <row r="249" spans="2:50" ht="23.1" customHeight="1" x14ac:dyDescent="0.3">
      <c r="B249" s="319"/>
      <c r="C249" s="320"/>
      <c r="D249" s="320"/>
      <c r="E249" s="320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S249" s="291"/>
      <c r="T249" s="291"/>
      <c r="U249" s="291"/>
      <c r="V249" s="291"/>
      <c r="W249" s="291"/>
      <c r="X249" s="291"/>
      <c r="Y249" s="291"/>
      <c r="Z249" s="291"/>
      <c r="AA249" s="291"/>
      <c r="AB249" s="291"/>
      <c r="AC249" s="291"/>
      <c r="AD249" s="291"/>
      <c r="AE249" s="291"/>
      <c r="AF249" s="291"/>
      <c r="AG249" s="291"/>
      <c r="AH249" s="291"/>
      <c r="AI249" s="291"/>
      <c r="AJ249" s="291"/>
      <c r="AK249" s="291"/>
      <c r="AL249" s="291"/>
      <c r="AM249" s="291"/>
      <c r="AN249" s="291"/>
      <c r="AO249" s="291"/>
      <c r="AP249" s="291"/>
      <c r="AQ249" s="291"/>
      <c r="AR249" s="291"/>
      <c r="AS249" s="291"/>
      <c r="AT249" s="291"/>
      <c r="AU249" s="291"/>
      <c r="AV249" s="291"/>
      <c r="AW249" s="291"/>
      <c r="AX249" s="291"/>
    </row>
    <row r="250" spans="2:50" ht="23.1" customHeight="1" x14ac:dyDescent="0.3">
      <c r="B250" s="319"/>
      <c r="C250" s="320"/>
      <c r="D250" s="320"/>
      <c r="E250" s="320"/>
      <c r="F250" s="291"/>
      <c r="G250" s="291"/>
      <c r="H250" s="291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S250" s="291"/>
      <c r="T250" s="291"/>
      <c r="U250" s="291"/>
      <c r="V250" s="291"/>
      <c r="W250" s="291"/>
      <c r="X250" s="291"/>
      <c r="Y250" s="291"/>
      <c r="Z250" s="291"/>
      <c r="AA250" s="291"/>
      <c r="AB250" s="291"/>
      <c r="AC250" s="291"/>
      <c r="AD250" s="291"/>
      <c r="AE250" s="291"/>
      <c r="AF250" s="291"/>
      <c r="AG250" s="291"/>
      <c r="AH250" s="291"/>
      <c r="AI250" s="291"/>
      <c r="AJ250" s="291"/>
      <c r="AK250" s="291"/>
      <c r="AL250" s="291"/>
      <c r="AM250" s="291"/>
      <c r="AN250" s="291"/>
      <c r="AO250" s="291"/>
      <c r="AP250" s="291"/>
      <c r="AQ250" s="291"/>
      <c r="AR250" s="291"/>
      <c r="AS250" s="291"/>
      <c r="AT250" s="291"/>
      <c r="AU250" s="291"/>
      <c r="AV250" s="291"/>
      <c r="AW250" s="291"/>
      <c r="AX250" s="291"/>
    </row>
    <row r="251" spans="2:50" ht="23.1" customHeight="1" x14ac:dyDescent="0.3">
      <c r="B251" s="319"/>
      <c r="C251" s="320"/>
      <c r="D251" s="320"/>
      <c r="E251" s="320"/>
      <c r="F251" s="291"/>
      <c r="G251" s="291"/>
      <c r="H251" s="291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S251" s="291"/>
      <c r="T251" s="291"/>
      <c r="U251" s="291"/>
      <c r="V251" s="291"/>
      <c r="W251" s="291"/>
      <c r="X251" s="291"/>
      <c r="Y251" s="291"/>
      <c r="Z251" s="291"/>
      <c r="AA251" s="291"/>
      <c r="AB251" s="291"/>
      <c r="AC251" s="291"/>
      <c r="AD251" s="291"/>
      <c r="AE251" s="291"/>
      <c r="AF251" s="291"/>
      <c r="AG251" s="291"/>
      <c r="AH251" s="291"/>
      <c r="AI251" s="291"/>
      <c r="AJ251" s="291"/>
      <c r="AK251" s="291"/>
      <c r="AL251" s="291"/>
      <c r="AM251" s="291"/>
      <c r="AN251" s="291"/>
      <c r="AO251" s="291"/>
      <c r="AP251" s="291"/>
      <c r="AQ251" s="291"/>
      <c r="AR251" s="291"/>
      <c r="AS251" s="291"/>
      <c r="AT251" s="291"/>
      <c r="AU251" s="291"/>
      <c r="AV251" s="291"/>
      <c r="AW251" s="291"/>
      <c r="AX251" s="291"/>
    </row>
    <row r="252" spans="2:50" ht="23.1" customHeight="1" x14ac:dyDescent="0.3">
      <c r="B252" s="319"/>
      <c r="C252" s="320"/>
      <c r="D252" s="320"/>
      <c r="E252" s="320"/>
      <c r="F252" s="291"/>
      <c r="G252" s="291"/>
      <c r="H252" s="291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S252" s="291"/>
      <c r="T252" s="291"/>
      <c r="U252" s="291"/>
      <c r="V252" s="291"/>
      <c r="W252" s="291"/>
      <c r="X252" s="291"/>
      <c r="Y252" s="291"/>
      <c r="Z252" s="291"/>
      <c r="AA252" s="291"/>
      <c r="AB252" s="291"/>
      <c r="AC252" s="291"/>
      <c r="AD252" s="291"/>
      <c r="AE252" s="291"/>
      <c r="AF252" s="291"/>
      <c r="AG252" s="291"/>
      <c r="AH252" s="291"/>
      <c r="AI252" s="291"/>
      <c r="AJ252" s="291"/>
      <c r="AK252" s="291"/>
      <c r="AL252" s="291"/>
      <c r="AM252" s="291"/>
      <c r="AN252" s="291"/>
      <c r="AO252" s="291"/>
      <c r="AP252" s="291"/>
      <c r="AQ252" s="291"/>
      <c r="AR252" s="291"/>
      <c r="AS252" s="291"/>
      <c r="AT252" s="291"/>
      <c r="AU252" s="291"/>
      <c r="AV252" s="291"/>
      <c r="AW252" s="291"/>
      <c r="AX252" s="291"/>
    </row>
    <row r="253" spans="2:50" ht="23.1" customHeight="1" x14ac:dyDescent="0.3">
      <c r="B253" s="319"/>
      <c r="C253" s="320"/>
      <c r="D253" s="320"/>
      <c r="E253" s="320"/>
      <c r="F253" s="291"/>
      <c r="G253" s="291"/>
      <c r="H253" s="291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S253" s="291"/>
      <c r="T253" s="291"/>
      <c r="U253" s="291"/>
      <c r="V253" s="291"/>
      <c r="W253" s="291"/>
      <c r="X253" s="291"/>
      <c r="Y253" s="291"/>
      <c r="Z253" s="291"/>
      <c r="AA253" s="291"/>
      <c r="AB253" s="291"/>
      <c r="AC253" s="291"/>
      <c r="AD253" s="291"/>
      <c r="AE253" s="291"/>
      <c r="AF253" s="291"/>
      <c r="AG253" s="291"/>
      <c r="AH253" s="291"/>
      <c r="AI253" s="291"/>
      <c r="AJ253" s="291"/>
      <c r="AK253" s="291"/>
      <c r="AL253" s="291"/>
      <c r="AM253" s="291"/>
      <c r="AN253" s="291"/>
      <c r="AO253" s="291"/>
      <c r="AP253" s="291"/>
      <c r="AQ253" s="291"/>
      <c r="AR253" s="291"/>
      <c r="AS253" s="291"/>
      <c r="AT253" s="291"/>
      <c r="AU253" s="291"/>
      <c r="AV253" s="291"/>
      <c r="AW253" s="291"/>
      <c r="AX253" s="291"/>
    </row>
    <row r="254" spans="2:50" ht="23.1" customHeight="1" x14ac:dyDescent="0.3">
      <c r="B254" s="319"/>
      <c r="C254" s="320"/>
      <c r="D254" s="320"/>
      <c r="E254" s="320"/>
      <c r="F254" s="291"/>
      <c r="G254" s="291"/>
      <c r="H254" s="291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S254" s="291"/>
      <c r="T254" s="291"/>
      <c r="U254" s="291"/>
      <c r="V254" s="291"/>
      <c r="W254" s="291"/>
      <c r="X254" s="291"/>
      <c r="Y254" s="291"/>
      <c r="Z254" s="291"/>
      <c r="AA254" s="291"/>
      <c r="AB254" s="291"/>
      <c r="AC254" s="291"/>
      <c r="AD254" s="291"/>
      <c r="AE254" s="291"/>
      <c r="AF254" s="291"/>
      <c r="AG254" s="291"/>
      <c r="AH254" s="291"/>
      <c r="AI254" s="291"/>
      <c r="AJ254" s="291"/>
      <c r="AK254" s="291"/>
      <c r="AL254" s="291"/>
      <c r="AM254" s="291"/>
      <c r="AN254" s="291"/>
      <c r="AO254" s="291"/>
      <c r="AP254" s="291"/>
      <c r="AQ254" s="291"/>
      <c r="AR254" s="291"/>
      <c r="AS254" s="291"/>
      <c r="AT254" s="291"/>
      <c r="AU254" s="291"/>
      <c r="AV254" s="291"/>
      <c r="AW254" s="291"/>
      <c r="AX254" s="291"/>
    </row>
    <row r="255" spans="2:50" ht="23.1" customHeight="1" x14ac:dyDescent="0.3">
      <c r="B255" s="319"/>
      <c r="C255" s="320"/>
      <c r="D255" s="320"/>
      <c r="E255" s="320"/>
      <c r="F255" s="291"/>
      <c r="G255" s="291"/>
      <c r="H255" s="291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S255" s="291"/>
      <c r="T255" s="291"/>
      <c r="U255" s="291"/>
      <c r="V255" s="291"/>
      <c r="W255" s="291"/>
      <c r="X255" s="291"/>
      <c r="Y255" s="291"/>
      <c r="Z255" s="291"/>
      <c r="AA255" s="291"/>
      <c r="AB255" s="291"/>
      <c r="AC255" s="291"/>
      <c r="AD255" s="291"/>
      <c r="AE255" s="291"/>
      <c r="AF255" s="291"/>
      <c r="AG255" s="291"/>
      <c r="AH255" s="291"/>
      <c r="AI255" s="291"/>
      <c r="AJ255" s="291"/>
      <c r="AK255" s="291"/>
      <c r="AL255" s="291"/>
      <c r="AM255" s="291"/>
      <c r="AN255" s="291"/>
      <c r="AO255" s="291"/>
      <c r="AP255" s="291"/>
      <c r="AQ255" s="291"/>
      <c r="AR255" s="291"/>
      <c r="AS255" s="291"/>
      <c r="AT255" s="291"/>
      <c r="AU255" s="291"/>
      <c r="AV255" s="291"/>
      <c r="AW255" s="291"/>
      <c r="AX255" s="291"/>
    </row>
    <row r="256" spans="2:50" ht="23.1" customHeight="1" x14ac:dyDescent="0.3">
      <c r="B256" s="319"/>
      <c r="C256" s="320"/>
      <c r="D256" s="320"/>
      <c r="E256" s="320"/>
      <c r="F256" s="291"/>
      <c r="G256" s="291"/>
      <c r="H256" s="291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S256" s="291"/>
      <c r="T256" s="291"/>
      <c r="U256" s="291"/>
      <c r="V256" s="291"/>
      <c r="W256" s="291"/>
      <c r="X256" s="291"/>
      <c r="Y256" s="291"/>
      <c r="Z256" s="291"/>
      <c r="AA256" s="291"/>
      <c r="AB256" s="291"/>
      <c r="AC256" s="291"/>
      <c r="AD256" s="291"/>
      <c r="AE256" s="291"/>
      <c r="AF256" s="291"/>
      <c r="AG256" s="291"/>
      <c r="AH256" s="291"/>
      <c r="AI256" s="291"/>
      <c r="AJ256" s="291"/>
      <c r="AK256" s="291"/>
      <c r="AL256" s="291"/>
      <c r="AM256" s="291"/>
      <c r="AN256" s="291"/>
      <c r="AO256" s="291"/>
      <c r="AP256" s="291"/>
      <c r="AQ256" s="291"/>
      <c r="AR256" s="291"/>
      <c r="AS256" s="291"/>
      <c r="AT256" s="291"/>
      <c r="AU256" s="291"/>
      <c r="AV256" s="291"/>
      <c r="AW256" s="291"/>
      <c r="AX256" s="291"/>
    </row>
    <row r="257" spans="2:50" ht="23.1" customHeight="1" x14ac:dyDescent="0.3">
      <c r="B257" s="319"/>
      <c r="C257" s="320"/>
      <c r="D257" s="320"/>
      <c r="E257" s="320"/>
      <c r="F257" s="291"/>
      <c r="G257" s="291"/>
      <c r="H257" s="291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S257" s="291"/>
      <c r="T257" s="291"/>
      <c r="U257" s="291"/>
      <c r="V257" s="291"/>
      <c r="W257" s="291"/>
      <c r="X257" s="291"/>
      <c r="Y257" s="291"/>
      <c r="Z257" s="291"/>
      <c r="AA257" s="291"/>
      <c r="AB257" s="291"/>
      <c r="AC257" s="291"/>
      <c r="AD257" s="291"/>
      <c r="AE257" s="291"/>
      <c r="AF257" s="291"/>
      <c r="AG257" s="291"/>
      <c r="AH257" s="291"/>
      <c r="AI257" s="291"/>
      <c r="AJ257" s="291"/>
      <c r="AK257" s="291"/>
      <c r="AL257" s="291"/>
      <c r="AM257" s="291"/>
      <c r="AN257" s="291"/>
      <c r="AO257" s="291"/>
      <c r="AP257" s="291"/>
      <c r="AQ257" s="291"/>
      <c r="AR257" s="291"/>
      <c r="AS257" s="291"/>
      <c r="AT257" s="291"/>
      <c r="AU257" s="291"/>
      <c r="AV257" s="291"/>
      <c r="AW257" s="291"/>
      <c r="AX257" s="291"/>
    </row>
    <row r="258" spans="2:50" ht="23.1" customHeight="1" x14ac:dyDescent="0.3">
      <c r="B258" s="319"/>
      <c r="C258" s="320"/>
      <c r="D258" s="320"/>
      <c r="E258" s="320"/>
      <c r="F258" s="291"/>
      <c r="G258" s="291"/>
      <c r="H258" s="291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S258" s="291"/>
      <c r="T258" s="291"/>
      <c r="U258" s="291"/>
      <c r="V258" s="291"/>
      <c r="W258" s="291"/>
      <c r="X258" s="291"/>
      <c r="Y258" s="291"/>
      <c r="Z258" s="291"/>
      <c r="AA258" s="291"/>
      <c r="AB258" s="291"/>
      <c r="AC258" s="291"/>
      <c r="AD258" s="291"/>
      <c r="AE258" s="291"/>
      <c r="AF258" s="291"/>
      <c r="AG258" s="291"/>
      <c r="AH258" s="291"/>
      <c r="AI258" s="291"/>
      <c r="AJ258" s="291"/>
      <c r="AK258" s="291"/>
      <c r="AL258" s="291"/>
      <c r="AM258" s="291"/>
      <c r="AN258" s="291"/>
      <c r="AO258" s="291"/>
      <c r="AP258" s="291"/>
      <c r="AQ258" s="291"/>
      <c r="AR258" s="291"/>
      <c r="AS258" s="291"/>
      <c r="AT258" s="291"/>
      <c r="AU258" s="291"/>
      <c r="AV258" s="291"/>
      <c r="AW258" s="291"/>
      <c r="AX258" s="291"/>
    </row>
    <row r="259" spans="2:50" ht="23.1" customHeight="1" x14ac:dyDescent="0.3">
      <c r="B259" s="319"/>
      <c r="C259" s="320"/>
      <c r="D259" s="320"/>
      <c r="E259" s="320"/>
      <c r="F259" s="291"/>
      <c r="G259" s="291"/>
      <c r="H259" s="291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S259" s="291"/>
      <c r="T259" s="291"/>
      <c r="U259" s="291"/>
      <c r="V259" s="291"/>
      <c r="W259" s="291"/>
      <c r="X259" s="291"/>
      <c r="Y259" s="291"/>
      <c r="Z259" s="291"/>
      <c r="AA259" s="291"/>
      <c r="AB259" s="291"/>
      <c r="AC259" s="291"/>
      <c r="AD259" s="291"/>
      <c r="AE259" s="291"/>
      <c r="AF259" s="291"/>
      <c r="AG259" s="291"/>
      <c r="AH259" s="291"/>
      <c r="AI259" s="291"/>
      <c r="AJ259" s="291"/>
      <c r="AK259" s="291"/>
      <c r="AL259" s="291"/>
      <c r="AM259" s="291"/>
      <c r="AN259" s="291"/>
      <c r="AO259" s="291"/>
      <c r="AP259" s="291"/>
      <c r="AQ259" s="291"/>
      <c r="AR259" s="291"/>
      <c r="AS259" s="291"/>
      <c r="AT259" s="291"/>
      <c r="AU259" s="291"/>
      <c r="AV259" s="291"/>
      <c r="AW259" s="291"/>
      <c r="AX259" s="291"/>
    </row>
    <row r="260" spans="2:50" ht="23.1" customHeight="1" x14ac:dyDescent="0.3">
      <c r="B260" s="319"/>
      <c r="C260" s="320"/>
      <c r="D260" s="320"/>
      <c r="E260" s="320"/>
      <c r="F260" s="291"/>
      <c r="G260" s="291"/>
      <c r="H260" s="291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S260" s="291"/>
      <c r="T260" s="291"/>
      <c r="U260" s="291"/>
      <c r="V260" s="291"/>
      <c r="W260" s="291"/>
      <c r="X260" s="291"/>
      <c r="Y260" s="291"/>
      <c r="Z260" s="291"/>
      <c r="AA260" s="291"/>
      <c r="AB260" s="291"/>
      <c r="AC260" s="291"/>
      <c r="AD260" s="291"/>
      <c r="AE260" s="291"/>
      <c r="AF260" s="291"/>
      <c r="AG260" s="291"/>
      <c r="AH260" s="291"/>
      <c r="AI260" s="291"/>
      <c r="AJ260" s="291"/>
      <c r="AK260" s="291"/>
      <c r="AL260" s="291"/>
      <c r="AM260" s="291"/>
      <c r="AN260" s="291"/>
      <c r="AO260" s="291"/>
      <c r="AP260" s="291"/>
      <c r="AQ260" s="291"/>
      <c r="AR260" s="291"/>
      <c r="AS260" s="291"/>
      <c r="AT260" s="291"/>
      <c r="AU260" s="291"/>
      <c r="AV260" s="291"/>
      <c r="AW260" s="291"/>
      <c r="AX260" s="291"/>
    </row>
    <row r="261" spans="2:50" ht="23.1" customHeight="1" x14ac:dyDescent="0.3">
      <c r="B261" s="319"/>
      <c r="C261" s="320"/>
      <c r="D261" s="320"/>
      <c r="E261" s="320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S261" s="291"/>
      <c r="T261" s="291"/>
      <c r="U261" s="291"/>
      <c r="V261" s="291"/>
      <c r="W261" s="291"/>
      <c r="X261" s="291"/>
      <c r="Y261" s="291"/>
      <c r="Z261" s="291"/>
      <c r="AA261" s="291"/>
      <c r="AB261" s="291"/>
      <c r="AC261" s="291"/>
      <c r="AD261" s="291"/>
      <c r="AE261" s="291"/>
      <c r="AF261" s="291"/>
      <c r="AG261" s="291"/>
      <c r="AH261" s="291"/>
      <c r="AI261" s="291"/>
      <c r="AJ261" s="291"/>
      <c r="AK261" s="291"/>
      <c r="AL261" s="291"/>
      <c r="AM261" s="291"/>
      <c r="AN261" s="291"/>
      <c r="AO261" s="291"/>
      <c r="AP261" s="291"/>
      <c r="AQ261" s="291"/>
      <c r="AR261" s="291"/>
      <c r="AS261" s="291"/>
      <c r="AT261" s="291"/>
      <c r="AU261" s="291"/>
      <c r="AV261" s="291"/>
      <c r="AW261" s="291"/>
      <c r="AX261" s="291"/>
    </row>
    <row r="262" spans="2:50" ht="23.1" customHeight="1" x14ac:dyDescent="0.3">
      <c r="B262" s="319"/>
      <c r="C262" s="320"/>
      <c r="D262" s="320"/>
      <c r="E262" s="320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S262" s="291"/>
      <c r="T262" s="291"/>
      <c r="U262" s="291"/>
      <c r="V262" s="291"/>
      <c r="W262" s="291"/>
      <c r="X262" s="291"/>
      <c r="Y262" s="291"/>
      <c r="Z262" s="291"/>
      <c r="AA262" s="291"/>
      <c r="AB262" s="291"/>
      <c r="AC262" s="291"/>
      <c r="AD262" s="291"/>
      <c r="AE262" s="291"/>
      <c r="AF262" s="291"/>
      <c r="AG262" s="291"/>
      <c r="AH262" s="291"/>
      <c r="AI262" s="291"/>
      <c r="AJ262" s="291"/>
      <c r="AK262" s="291"/>
      <c r="AL262" s="291"/>
      <c r="AM262" s="291"/>
      <c r="AN262" s="291"/>
      <c r="AO262" s="291"/>
      <c r="AP262" s="291"/>
      <c r="AQ262" s="291"/>
      <c r="AR262" s="291"/>
      <c r="AS262" s="291"/>
      <c r="AT262" s="291"/>
      <c r="AU262" s="291"/>
      <c r="AV262" s="291"/>
      <c r="AW262" s="291"/>
      <c r="AX262" s="291"/>
    </row>
    <row r="263" spans="2:50" ht="23.1" customHeight="1" x14ac:dyDescent="0.3">
      <c r="B263" s="319"/>
      <c r="C263" s="320"/>
      <c r="D263" s="320"/>
      <c r="E263" s="320"/>
      <c r="F263" s="291"/>
      <c r="G263" s="291"/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S263" s="291"/>
      <c r="T263" s="291"/>
      <c r="U263" s="291"/>
      <c r="V263" s="291"/>
      <c r="W263" s="291"/>
      <c r="X263" s="291"/>
      <c r="Y263" s="291"/>
      <c r="Z263" s="291"/>
      <c r="AA263" s="291"/>
      <c r="AB263" s="291"/>
      <c r="AC263" s="291"/>
      <c r="AD263" s="291"/>
      <c r="AE263" s="291"/>
      <c r="AF263" s="291"/>
      <c r="AG263" s="291"/>
      <c r="AH263" s="291"/>
      <c r="AI263" s="291"/>
      <c r="AJ263" s="291"/>
      <c r="AK263" s="291"/>
      <c r="AL263" s="291"/>
      <c r="AM263" s="291"/>
      <c r="AN263" s="291"/>
      <c r="AO263" s="291"/>
      <c r="AP263" s="291"/>
      <c r="AQ263" s="291"/>
      <c r="AR263" s="291"/>
      <c r="AS263" s="291"/>
      <c r="AT263" s="291"/>
      <c r="AU263" s="291"/>
      <c r="AV263" s="291"/>
      <c r="AW263" s="291"/>
      <c r="AX263" s="291"/>
    </row>
    <row r="264" spans="2:50" ht="23.1" customHeight="1" x14ac:dyDescent="0.3">
      <c r="B264" s="319"/>
      <c r="C264" s="320"/>
      <c r="D264" s="320"/>
      <c r="E264" s="320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  <c r="AI264" s="291"/>
      <c r="AJ264" s="291"/>
      <c r="AK264" s="291"/>
      <c r="AL264" s="291"/>
      <c r="AM264" s="291"/>
      <c r="AN264" s="291"/>
      <c r="AO264" s="291"/>
      <c r="AP264" s="291"/>
      <c r="AQ264" s="291"/>
      <c r="AR264" s="291"/>
      <c r="AS264" s="291"/>
      <c r="AT264" s="291"/>
      <c r="AU264" s="291"/>
      <c r="AV264" s="291"/>
      <c r="AW264" s="291"/>
      <c r="AX264" s="291"/>
    </row>
    <row r="265" spans="2:50" ht="23.1" customHeight="1" x14ac:dyDescent="0.3">
      <c r="B265" s="319"/>
      <c r="C265" s="320"/>
      <c r="D265" s="320"/>
      <c r="E265" s="320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S265" s="291"/>
      <c r="T265" s="291"/>
      <c r="U265" s="291"/>
      <c r="V265" s="291"/>
      <c r="W265" s="291"/>
      <c r="X265" s="291"/>
      <c r="Y265" s="291"/>
      <c r="Z265" s="291"/>
      <c r="AA265" s="291"/>
      <c r="AB265" s="291"/>
      <c r="AC265" s="291"/>
      <c r="AD265" s="291"/>
      <c r="AE265" s="291"/>
      <c r="AF265" s="291"/>
      <c r="AG265" s="291"/>
      <c r="AH265" s="291"/>
      <c r="AI265" s="291"/>
      <c r="AJ265" s="291"/>
      <c r="AK265" s="291"/>
      <c r="AL265" s="291"/>
      <c r="AM265" s="291"/>
      <c r="AN265" s="291"/>
      <c r="AO265" s="291"/>
      <c r="AP265" s="291"/>
      <c r="AQ265" s="291"/>
      <c r="AR265" s="291"/>
      <c r="AS265" s="291"/>
      <c r="AT265" s="291"/>
      <c r="AU265" s="291"/>
      <c r="AV265" s="291"/>
      <c r="AW265" s="291"/>
      <c r="AX265" s="291"/>
    </row>
    <row r="266" spans="2:50" ht="23.1" customHeight="1" x14ac:dyDescent="0.3">
      <c r="B266" s="319"/>
      <c r="C266" s="320"/>
      <c r="D266" s="320"/>
      <c r="E266" s="320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S266" s="291"/>
      <c r="T266" s="291"/>
      <c r="U266" s="291"/>
      <c r="V266" s="291"/>
      <c r="W266" s="291"/>
      <c r="X266" s="291"/>
      <c r="Y266" s="291"/>
      <c r="Z266" s="291"/>
      <c r="AA266" s="291"/>
      <c r="AB266" s="291"/>
      <c r="AC266" s="291"/>
      <c r="AD266" s="291"/>
      <c r="AE266" s="291"/>
      <c r="AF266" s="291"/>
      <c r="AG266" s="291"/>
      <c r="AH266" s="291"/>
      <c r="AI266" s="291"/>
      <c r="AJ266" s="291"/>
      <c r="AK266" s="291"/>
      <c r="AL266" s="291"/>
      <c r="AM266" s="291"/>
      <c r="AN266" s="291"/>
      <c r="AO266" s="291"/>
      <c r="AP266" s="291"/>
      <c r="AQ266" s="291"/>
      <c r="AR266" s="291"/>
      <c r="AS266" s="291"/>
      <c r="AT266" s="291"/>
      <c r="AU266" s="291"/>
      <c r="AV266" s="291"/>
      <c r="AW266" s="291"/>
      <c r="AX266" s="291"/>
    </row>
    <row r="267" spans="2:50" ht="23.1" customHeight="1" x14ac:dyDescent="0.3">
      <c r="B267" s="319"/>
      <c r="C267" s="320"/>
      <c r="D267" s="320"/>
      <c r="E267" s="320"/>
      <c r="F267" s="291"/>
      <c r="G267" s="291"/>
      <c r="H267" s="291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S267" s="291"/>
      <c r="T267" s="291"/>
      <c r="U267" s="291"/>
      <c r="V267" s="291"/>
      <c r="W267" s="291"/>
      <c r="X267" s="291"/>
      <c r="Y267" s="291"/>
      <c r="Z267" s="291"/>
      <c r="AA267" s="291"/>
      <c r="AB267" s="291"/>
      <c r="AC267" s="291"/>
      <c r="AD267" s="291"/>
      <c r="AE267" s="291"/>
      <c r="AF267" s="291"/>
      <c r="AG267" s="291"/>
      <c r="AH267" s="291"/>
      <c r="AI267" s="291"/>
      <c r="AJ267" s="291"/>
      <c r="AK267" s="291"/>
      <c r="AL267" s="291"/>
      <c r="AM267" s="291"/>
      <c r="AN267" s="291"/>
      <c r="AO267" s="291"/>
      <c r="AP267" s="291"/>
      <c r="AQ267" s="291"/>
      <c r="AR267" s="291"/>
      <c r="AS267" s="291"/>
      <c r="AT267" s="291"/>
      <c r="AU267" s="291"/>
      <c r="AV267" s="291"/>
      <c r="AW267" s="291"/>
      <c r="AX267" s="291"/>
    </row>
    <row r="268" spans="2:50" ht="23.1" customHeight="1" x14ac:dyDescent="0.3">
      <c r="B268" s="319"/>
      <c r="C268" s="320"/>
      <c r="D268" s="320"/>
      <c r="E268" s="320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S268" s="291"/>
      <c r="T268" s="291"/>
      <c r="U268" s="291"/>
      <c r="V268" s="291"/>
      <c r="W268" s="291"/>
      <c r="X268" s="291"/>
      <c r="Y268" s="291"/>
      <c r="Z268" s="291"/>
      <c r="AA268" s="291"/>
      <c r="AB268" s="291"/>
      <c r="AC268" s="291"/>
      <c r="AD268" s="291"/>
      <c r="AE268" s="291"/>
      <c r="AF268" s="291"/>
      <c r="AG268" s="291"/>
      <c r="AH268" s="291"/>
      <c r="AI268" s="291"/>
      <c r="AJ268" s="291"/>
      <c r="AK268" s="291"/>
      <c r="AL268" s="291"/>
      <c r="AM268" s="291"/>
      <c r="AN268" s="291"/>
      <c r="AO268" s="291"/>
      <c r="AP268" s="291"/>
      <c r="AQ268" s="291"/>
      <c r="AR268" s="291"/>
      <c r="AS268" s="291"/>
      <c r="AT268" s="291"/>
      <c r="AU268" s="291"/>
      <c r="AV268" s="291"/>
      <c r="AW268" s="291"/>
      <c r="AX268" s="291"/>
    </row>
    <row r="269" spans="2:50" ht="23.1" customHeight="1" x14ac:dyDescent="0.3">
      <c r="B269" s="319"/>
      <c r="C269" s="320"/>
      <c r="D269" s="320"/>
      <c r="E269" s="320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291"/>
      <c r="Z269" s="291"/>
      <c r="AA269" s="291"/>
      <c r="AB269" s="291"/>
      <c r="AC269" s="291"/>
      <c r="AD269" s="291"/>
      <c r="AE269" s="291"/>
      <c r="AF269" s="291"/>
      <c r="AG269" s="291"/>
      <c r="AH269" s="291"/>
      <c r="AI269" s="291"/>
      <c r="AJ269" s="291"/>
      <c r="AK269" s="291"/>
      <c r="AL269" s="291"/>
      <c r="AM269" s="291"/>
      <c r="AN269" s="291"/>
      <c r="AO269" s="291"/>
      <c r="AP269" s="291"/>
      <c r="AQ269" s="291"/>
      <c r="AR269" s="291"/>
      <c r="AS269" s="291"/>
      <c r="AT269" s="291"/>
      <c r="AU269" s="291"/>
      <c r="AV269" s="291"/>
      <c r="AW269" s="291"/>
      <c r="AX269" s="291"/>
    </row>
    <row r="270" spans="2:50" ht="23.1" customHeight="1" x14ac:dyDescent="0.3">
      <c r="B270" s="319"/>
      <c r="C270" s="320"/>
      <c r="D270" s="320"/>
      <c r="E270" s="320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S270" s="291"/>
      <c r="T270" s="291"/>
      <c r="U270" s="291"/>
      <c r="V270" s="291"/>
      <c r="W270" s="291"/>
      <c r="X270" s="291"/>
      <c r="Y270" s="291"/>
      <c r="Z270" s="291"/>
      <c r="AA270" s="291"/>
      <c r="AB270" s="291"/>
      <c r="AC270" s="291"/>
      <c r="AD270" s="291"/>
      <c r="AE270" s="291"/>
      <c r="AF270" s="291"/>
      <c r="AG270" s="291"/>
      <c r="AH270" s="291"/>
      <c r="AI270" s="291"/>
      <c r="AJ270" s="291"/>
      <c r="AK270" s="291"/>
      <c r="AL270" s="291"/>
      <c r="AM270" s="291"/>
      <c r="AN270" s="291"/>
      <c r="AO270" s="291"/>
      <c r="AP270" s="291"/>
      <c r="AQ270" s="291"/>
      <c r="AR270" s="291"/>
      <c r="AS270" s="291"/>
      <c r="AT270" s="291"/>
      <c r="AU270" s="291"/>
      <c r="AV270" s="291"/>
      <c r="AW270" s="291"/>
      <c r="AX270" s="291"/>
    </row>
    <row r="271" spans="2:50" ht="23.1" customHeight="1" x14ac:dyDescent="0.3">
      <c r="B271" s="319"/>
      <c r="C271" s="320"/>
      <c r="D271" s="320"/>
      <c r="E271" s="320"/>
      <c r="F271" s="291"/>
      <c r="G271" s="291"/>
      <c r="H271" s="291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S271" s="291"/>
      <c r="T271" s="291"/>
      <c r="U271" s="291"/>
      <c r="V271" s="291"/>
      <c r="W271" s="291"/>
      <c r="X271" s="291"/>
      <c r="Y271" s="291"/>
      <c r="Z271" s="291"/>
      <c r="AA271" s="291"/>
      <c r="AB271" s="291"/>
      <c r="AC271" s="291"/>
      <c r="AD271" s="291"/>
      <c r="AE271" s="291"/>
      <c r="AF271" s="291"/>
      <c r="AG271" s="291"/>
      <c r="AH271" s="291"/>
      <c r="AI271" s="291"/>
      <c r="AJ271" s="291"/>
      <c r="AK271" s="291"/>
      <c r="AL271" s="291"/>
      <c r="AM271" s="291"/>
      <c r="AN271" s="291"/>
      <c r="AO271" s="291"/>
      <c r="AP271" s="291"/>
      <c r="AQ271" s="291"/>
      <c r="AR271" s="291"/>
      <c r="AS271" s="291"/>
      <c r="AT271" s="291"/>
      <c r="AU271" s="291"/>
      <c r="AV271" s="291"/>
      <c r="AW271" s="291"/>
      <c r="AX271" s="291"/>
    </row>
    <row r="272" spans="2:50" ht="23.1" customHeight="1" x14ac:dyDescent="0.3">
      <c r="B272" s="319"/>
      <c r="C272" s="320"/>
      <c r="D272" s="320"/>
      <c r="E272" s="320"/>
      <c r="F272" s="291"/>
      <c r="G272" s="291"/>
      <c r="H272" s="291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S272" s="291"/>
      <c r="T272" s="291"/>
      <c r="U272" s="291"/>
      <c r="V272" s="291"/>
      <c r="W272" s="291"/>
      <c r="X272" s="291"/>
      <c r="Y272" s="291"/>
      <c r="Z272" s="291"/>
      <c r="AA272" s="291"/>
      <c r="AB272" s="291"/>
      <c r="AC272" s="291"/>
      <c r="AD272" s="291"/>
      <c r="AE272" s="291"/>
      <c r="AF272" s="291"/>
      <c r="AG272" s="291"/>
      <c r="AH272" s="291"/>
      <c r="AI272" s="291"/>
      <c r="AJ272" s="291"/>
      <c r="AK272" s="291"/>
      <c r="AL272" s="291"/>
      <c r="AM272" s="291"/>
      <c r="AN272" s="291"/>
      <c r="AO272" s="291"/>
      <c r="AP272" s="291"/>
      <c r="AQ272" s="291"/>
      <c r="AR272" s="291"/>
      <c r="AS272" s="291"/>
      <c r="AT272" s="291"/>
      <c r="AU272" s="291"/>
      <c r="AV272" s="291"/>
      <c r="AW272" s="291"/>
      <c r="AX272" s="291"/>
    </row>
    <row r="273" spans="2:50" ht="23.1" customHeight="1" x14ac:dyDescent="0.3">
      <c r="B273" s="319"/>
      <c r="C273" s="320"/>
      <c r="D273" s="320"/>
      <c r="E273" s="320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S273" s="291"/>
      <c r="T273" s="291"/>
      <c r="U273" s="291"/>
      <c r="V273" s="291"/>
      <c r="W273" s="291"/>
      <c r="X273" s="291"/>
      <c r="Y273" s="291"/>
      <c r="Z273" s="291"/>
      <c r="AA273" s="291"/>
      <c r="AB273" s="291"/>
      <c r="AC273" s="291"/>
      <c r="AD273" s="291"/>
      <c r="AE273" s="291"/>
      <c r="AF273" s="291"/>
      <c r="AG273" s="291"/>
      <c r="AH273" s="291"/>
      <c r="AI273" s="291"/>
      <c r="AJ273" s="291"/>
      <c r="AK273" s="291"/>
      <c r="AL273" s="291"/>
      <c r="AM273" s="291"/>
      <c r="AN273" s="291"/>
      <c r="AO273" s="291"/>
      <c r="AP273" s="291"/>
      <c r="AQ273" s="291"/>
      <c r="AR273" s="291"/>
      <c r="AS273" s="291"/>
      <c r="AT273" s="291"/>
      <c r="AU273" s="291"/>
      <c r="AV273" s="291"/>
      <c r="AW273" s="291"/>
      <c r="AX273" s="291"/>
    </row>
    <row r="274" spans="2:50" ht="23.1" customHeight="1" x14ac:dyDescent="0.3">
      <c r="B274" s="319"/>
      <c r="C274" s="320"/>
      <c r="D274" s="320"/>
      <c r="E274" s="320"/>
      <c r="F274" s="291"/>
      <c r="G274" s="291"/>
      <c r="H274" s="291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S274" s="291"/>
      <c r="T274" s="291"/>
      <c r="U274" s="291"/>
      <c r="V274" s="291"/>
      <c r="W274" s="291"/>
      <c r="X274" s="291"/>
      <c r="Y274" s="291"/>
      <c r="Z274" s="291"/>
      <c r="AA274" s="291"/>
      <c r="AB274" s="291"/>
      <c r="AC274" s="291"/>
      <c r="AD274" s="291"/>
      <c r="AE274" s="291"/>
      <c r="AF274" s="291"/>
      <c r="AG274" s="291"/>
      <c r="AH274" s="291"/>
      <c r="AI274" s="291"/>
      <c r="AJ274" s="291"/>
      <c r="AK274" s="291"/>
      <c r="AL274" s="291"/>
      <c r="AM274" s="291"/>
      <c r="AN274" s="291"/>
      <c r="AO274" s="291"/>
      <c r="AP274" s="291"/>
      <c r="AQ274" s="291"/>
      <c r="AR274" s="291"/>
      <c r="AS274" s="291"/>
      <c r="AT274" s="291"/>
      <c r="AU274" s="291"/>
      <c r="AV274" s="291"/>
      <c r="AW274" s="291"/>
      <c r="AX274" s="291"/>
    </row>
    <row r="275" spans="2:50" ht="23.1" customHeight="1" x14ac:dyDescent="0.3">
      <c r="B275" s="319"/>
      <c r="C275" s="320"/>
      <c r="D275" s="320"/>
      <c r="E275" s="320"/>
      <c r="F275" s="291"/>
      <c r="G275" s="291"/>
      <c r="H275" s="291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S275" s="291"/>
      <c r="T275" s="291"/>
      <c r="U275" s="291"/>
      <c r="V275" s="291"/>
      <c r="W275" s="291"/>
      <c r="X275" s="291"/>
      <c r="Y275" s="291"/>
      <c r="Z275" s="291"/>
      <c r="AA275" s="291"/>
      <c r="AB275" s="291"/>
      <c r="AC275" s="291"/>
      <c r="AD275" s="291"/>
      <c r="AE275" s="291"/>
      <c r="AF275" s="291"/>
      <c r="AG275" s="291"/>
      <c r="AH275" s="291"/>
      <c r="AI275" s="291"/>
      <c r="AJ275" s="291"/>
      <c r="AK275" s="291"/>
      <c r="AL275" s="291"/>
      <c r="AM275" s="291"/>
      <c r="AN275" s="291"/>
      <c r="AO275" s="291"/>
      <c r="AP275" s="291"/>
      <c r="AQ275" s="291"/>
      <c r="AR275" s="291"/>
      <c r="AS275" s="291"/>
      <c r="AT275" s="291"/>
      <c r="AU275" s="291"/>
      <c r="AV275" s="291"/>
      <c r="AW275" s="291"/>
      <c r="AX275" s="291"/>
    </row>
    <row r="276" spans="2:50" ht="23.1" customHeight="1" x14ac:dyDescent="0.3">
      <c r="B276" s="319"/>
      <c r="C276" s="320"/>
      <c r="D276" s="320"/>
      <c r="E276" s="320"/>
      <c r="F276" s="291"/>
      <c r="G276" s="291"/>
      <c r="H276" s="291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S276" s="291"/>
      <c r="T276" s="291"/>
      <c r="U276" s="291"/>
      <c r="V276" s="291"/>
      <c r="W276" s="291"/>
      <c r="X276" s="291"/>
      <c r="Y276" s="291"/>
      <c r="Z276" s="291"/>
      <c r="AA276" s="291"/>
      <c r="AB276" s="291"/>
      <c r="AC276" s="291"/>
      <c r="AD276" s="291"/>
      <c r="AE276" s="291"/>
      <c r="AF276" s="291"/>
      <c r="AG276" s="291"/>
      <c r="AH276" s="291"/>
      <c r="AI276" s="291"/>
      <c r="AJ276" s="291"/>
      <c r="AK276" s="291"/>
      <c r="AL276" s="291"/>
      <c r="AM276" s="291"/>
      <c r="AN276" s="291"/>
      <c r="AO276" s="291"/>
      <c r="AP276" s="291"/>
      <c r="AQ276" s="291"/>
      <c r="AR276" s="291"/>
      <c r="AS276" s="291"/>
      <c r="AT276" s="291"/>
      <c r="AU276" s="291"/>
      <c r="AV276" s="291"/>
      <c r="AW276" s="291"/>
      <c r="AX276" s="291"/>
    </row>
    <row r="277" spans="2:50" ht="23.1" customHeight="1" x14ac:dyDescent="0.3">
      <c r="B277" s="319"/>
      <c r="C277" s="320"/>
      <c r="D277" s="320"/>
      <c r="E277" s="320"/>
      <c r="F277" s="291"/>
      <c r="G277" s="291"/>
      <c r="H277" s="291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S277" s="291"/>
      <c r="T277" s="291"/>
      <c r="U277" s="291"/>
      <c r="V277" s="291"/>
      <c r="W277" s="291"/>
      <c r="X277" s="291"/>
      <c r="Y277" s="291"/>
      <c r="Z277" s="291"/>
      <c r="AA277" s="291"/>
      <c r="AB277" s="291"/>
      <c r="AC277" s="291"/>
      <c r="AD277" s="291"/>
      <c r="AE277" s="291"/>
      <c r="AF277" s="291"/>
      <c r="AG277" s="291"/>
      <c r="AH277" s="291"/>
      <c r="AI277" s="291"/>
      <c r="AJ277" s="291"/>
      <c r="AK277" s="291"/>
      <c r="AL277" s="291"/>
      <c r="AM277" s="291"/>
      <c r="AN277" s="291"/>
      <c r="AO277" s="291"/>
      <c r="AP277" s="291"/>
      <c r="AQ277" s="291"/>
      <c r="AR277" s="291"/>
      <c r="AS277" s="291"/>
      <c r="AT277" s="291"/>
      <c r="AU277" s="291"/>
      <c r="AV277" s="291"/>
      <c r="AW277" s="291"/>
      <c r="AX277" s="291"/>
    </row>
    <row r="278" spans="2:50" ht="23.1" customHeight="1" x14ac:dyDescent="0.3">
      <c r="B278" s="319"/>
      <c r="C278" s="320"/>
      <c r="D278" s="320"/>
      <c r="E278" s="320"/>
      <c r="F278" s="291"/>
      <c r="G278" s="291"/>
      <c r="H278" s="291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S278" s="291"/>
      <c r="T278" s="291"/>
      <c r="U278" s="291"/>
      <c r="V278" s="291"/>
      <c r="W278" s="291"/>
      <c r="X278" s="291"/>
      <c r="Y278" s="291"/>
      <c r="Z278" s="291"/>
      <c r="AA278" s="291"/>
      <c r="AB278" s="291"/>
      <c r="AC278" s="291"/>
      <c r="AD278" s="291"/>
      <c r="AE278" s="291"/>
      <c r="AF278" s="291"/>
      <c r="AG278" s="291"/>
      <c r="AH278" s="291"/>
      <c r="AI278" s="291"/>
      <c r="AJ278" s="291"/>
      <c r="AK278" s="291"/>
      <c r="AL278" s="291"/>
      <c r="AM278" s="291"/>
      <c r="AN278" s="291"/>
      <c r="AO278" s="291"/>
      <c r="AP278" s="291"/>
      <c r="AQ278" s="291"/>
      <c r="AR278" s="291"/>
      <c r="AS278" s="291"/>
      <c r="AT278" s="291"/>
      <c r="AU278" s="291"/>
      <c r="AV278" s="291"/>
      <c r="AW278" s="291"/>
      <c r="AX278" s="291"/>
    </row>
    <row r="279" spans="2:50" ht="23.1" customHeight="1" x14ac:dyDescent="0.3">
      <c r="B279" s="319"/>
      <c r="C279" s="320"/>
      <c r="D279" s="320"/>
      <c r="E279" s="320"/>
      <c r="F279" s="291"/>
      <c r="G279" s="291"/>
      <c r="H279" s="291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S279" s="291"/>
      <c r="T279" s="291"/>
      <c r="U279" s="291"/>
      <c r="V279" s="291"/>
      <c r="W279" s="291"/>
      <c r="X279" s="291"/>
      <c r="Y279" s="291"/>
      <c r="Z279" s="291"/>
      <c r="AA279" s="291"/>
      <c r="AB279" s="291"/>
      <c r="AC279" s="291"/>
      <c r="AD279" s="291"/>
      <c r="AE279" s="291"/>
      <c r="AF279" s="291"/>
      <c r="AG279" s="291"/>
      <c r="AH279" s="291"/>
      <c r="AI279" s="291"/>
      <c r="AJ279" s="291"/>
      <c r="AK279" s="291"/>
      <c r="AL279" s="291"/>
      <c r="AM279" s="291"/>
      <c r="AN279" s="291"/>
      <c r="AO279" s="291"/>
      <c r="AP279" s="291"/>
      <c r="AQ279" s="291"/>
      <c r="AR279" s="291"/>
      <c r="AS279" s="291"/>
      <c r="AT279" s="291"/>
      <c r="AU279" s="291"/>
      <c r="AV279" s="291"/>
      <c r="AW279" s="291"/>
      <c r="AX279" s="291"/>
    </row>
    <row r="280" spans="2:50" ht="23.1" customHeight="1" x14ac:dyDescent="0.3">
      <c r="B280" s="319"/>
      <c r="C280" s="320"/>
      <c r="D280" s="320"/>
      <c r="E280" s="320"/>
      <c r="F280" s="291"/>
      <c r="G280" s="291"/>
      <c r="H280" s="291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S280" s="291"/>
      <c r="T280" s="291"/>
      <c r="U280" s="291"/>
      <c r="V280" s="291"/>
      <c r="W280" s="291"/>
      <c r="X280" s="291"/>
      <c r="Y280" s="291"/>
      <c r="Z280" s="291"/>
      <c r="AA280" s="291"/>
      <c r="AB280" s="291"/>
      <c r="AC280" s="291"/>
      <c r="AD280" s="291"/>
      <c r="AE280" s="291"/>
      <c r="AF280" s="291"/>
      <c r="AG280" s="291"/>
      <c r="AH280" s="291"/>
      <c r="AI280" s="291"/>
      <c r="AJ280" s="291"/>
      <c r="AK280" s="291"/>
      <c r="AL280" s="291"/>
      <c r="AM280" s="291"/>
      <c r="AN280" s="291"/>
      <c r="AO280" s="291"/>
      <c r="AP280" s="291"/>
      <c r="AQ280" s="291"/>
      <c r="AR280" s="291"/>
      <c r="AS280" s="291"/>
      <c r="AT280" s="291"/>
      <c r="AU280" s="291"/>
      <c r="AV280" s="291"/>
      <c r="AW280" s="291"/>
      <c r="AX280" s="291"/>
    </row>
    <row r="281" spans="2:50" ht="23.1" customHeight="1" x14ac:dyDescent="0.3">
      <c r="B281" s="319"/>
      <c r="C281" s="320"/>
      <c r="D281" s="320"/>
      <c r="E281" s="320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S281" s="291"/>
      <c r="T281" s="291"/>
      <c r="U281" s="291"/>
      <c r="V281" s="291"/>
      <c r="W281" s="291"/>
      <c r="X281" s="291"/>
      <c r="Y281" s="291"/>
      <c r="Z281" s="291"/>
      <c r="AA281" s="291"/>
      <c r="AB281" s="291"/>
      <c r="AC281" s="291"/>
      <c r="AD281" s="291"/>
      <c r="AE281" s="291"/>
      <c r="AF281" s="291"/>
      <c r="AG281" s="291"/>
      <c r="AH281" s="291"/>
      <c r="AI281" s="291"/>
      <c r="AJ281" s="291"/>
      <c r="AK281" s="291"/>
      <c r="AL281" s="291"/>
      <c r="AM281" s="291"/>
      <c r="AN281" s="291"/>
      <c r="AO281" s="291"/>
      <c r="AP281" s="291"/>
      <c r="AQ281" s="291"/>
      <c r="AR281" s="291"/>
      <c r="AS281" s="291"/>
      <c r="AT281" s="291"/>
      <c r="AU281" s="291"/>
      <c r="AV281" s="291"/>
      <c r="AW281" s="291"/>
      <c r="AX281" s="291"/>
    </row>
    <row r="282" spans="2:50" ht="23.1" customHeight="1" x14ac:dyDescent="0.3">
      <c r="B282" s="319"/>
      <c r="C282" s="320"/>
      <c r="D282" s="320"/>
      <c r="E282" s="320"/>
      <c r="F282" s="291"/>
      <c r="G282" s="291"/>
      <c r="H282" s="291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S282" s="291"/>
      <c r="T282" s="291"/>
      <c r="U282" s="291"/>
      <c r="V282" s="291"/>
      <c r="W282" s="291"/>
      <c r="X282" s="291"/>
      <c r="Y282" s="291"/>
      <c r="Z282" s="291"/>
      <c r="AA282" s="291"/>
      <c r="AB282" s="291"/>
      <c r="AC282" s="291"/>
      <c r="AD282" s="291"/>
      <c r="AE282" s="291"/>
      <c r="AF282" s="291"/>
      <c r="AG282" s="291"/>
      <c r="AH282" s="291"/>
      <c r="AI282" s="291"/>
      <c r="AJ282" s="291"/>
      <c r="AK282" s="291"/>
      <c r="AL282" s="291"/>
      <c r="AM282" s="291"/>
      <c r="AN282" s="291"/>
      <c r="AO282" s="291"/>
      <c r="AP282" s="291"/>
      <c r="AQ282" s="291"/>
      <c r="AR282" s="291"/>
      <c r="AS282" s="291"/>
      <c r="AT282" s="291"/>
      <c r="AU282" s="291"/>
      <c r="AV282" s="291"/>
      <c r="AW282" s="291"/>
      <c r="AX282" s="291"/>
    </row>
    <row r="283" spans="2:50" ht="23.1" customHeight="1" x14ac:dyDescent="0.3">
      <c r="B283" s="319"/>
      <c r="C283" s="320"/>
      <c r="D283" s="320"/>
      <c r="E283" s="320"/>
      <c r="F283" s="291"/>
      <c r="G283" s="291"/>
      <c r="H283" s="291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S283" s="291"/>
      <c r="T283" s="291"/>
      <c r="U283" s="291"/>
      <c r="V283" s="291"/>
      <c r="W283" s="291"/>
      <c r="X283" s="291"/>
      <c r="Y283" s="291"/>
      <c r="Z283" s="291"/>
      <c r="AA283" s="291"/>
      <c r="AB283" s="291"/>
      <c r="AC283" s="291"/>
      <c r="AD283" s="291"/>
      <c r="AE283" s="291"/>
      <c r="AF283" s="291"/>
      <c r="AG283" s="291"/>
      <c r="AH283" s="291"/>
      <c r="AI283" s="291"/>
      <c r="AJ283" s="291"/>
      <c r="AK283" s="291"/>
      <c r="AL283" s="291"/>
      <c r="AM283" s="291"/>
      <c r="AN283" s="291"/>
      <c r="AO283" s="291"/>
      <c r="AP283" s="291"/>
      <c r="AQ283" s="291"/>
      <c r="AR283" s="291"/>
      <c r="AS283" s="291"/>
      <c r="AT283" s="291"/>
      <c r="AU283" s="291"/>
      <c r="AV283" s="291"/>
      <c r="AW283" s="291"/>
      <c r="AX283" s="291"/>
    </row>
    <row r="284" spans="2:50" ht="23.1" customHeight="1" x14ac:dyDescent="0.3">
      <c r="B284" s="319"/>
      <c r="C284" s="320"/>
      <c r="D284" s="320"/>
      <c r="E284" s="320"/>
      <c r="F284" s="291"/>
      <c r="G284" s="291"/>
      <c r="H284" s="291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S284" s="291"/>
      <c r="T284" s="291"/>
      <c r="U284" s="291"/>
      <c r="V284" s="291"/>
      <c r="W284" s="291"/>
      <c r="X284" s="291"/>
      <c r="Y284" s="291"/>
      <c r="Z284" s="291"/>
      <c r="AA284" s="291"/>
      <c r="AB284" s="291"/>
      <c r="AC284" s="291"/>
      <c r="AD284" s="291"/>
      <c r="AE284" s="291"/>
      <c r="AF284" s="291"/>
      <c r="AG284" s="291"/>
      <c r="AH284" s="291"/>
      <c r="AI284" s="291"/>
      <c r="AJ284" s="291"/>
      <c r="AK284" s="291"/>
      <c r="AL284" s="291"/>
      <c r="AM284" s="291"/>
      <c r="AN284" s="291"/>
      <c r="AO284" s="291"/>
      <c r="AP284" s="291"/>
      <c r="AQ284" s="291"/>
      <c r="AR284" s="291"/>
      <c r="AS284" s="291"/>
      <c r="AT284" s="291"/>
      <c r="AU284" s="291"/>
      <c r="AV284" s="291"/>
      <c r="AW284" s="291"/>
      <c r="AX284" s="291"/>
    </row>
    <row r="285" spans="2:50" ht="23.1" customHeight="1" x14ac:dyDescent="0.3">
      <c r="B285" s="319"/>
      <c r="C285" s="320"/>
      <c r="D285" s="320"/>
      <c r="E285" s="320"/>
      <c r="F285" s="291"/>
      <c r="G285" s="291"/>
      <c r="H285" s="291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S285" s="291"/>
      <c r="T285" s="291"/>
      <c r="U285" s="291"/>
      <c r="V285" s="291"/>
      <c r="W285" s="291"/>
      <c r="X285" s="291"/>
      <c r="Y285" s="291"/>
      <c r="Z285" s="291"/>
      <c r="AA285" s="291"/>
      <c r="AB285" s="291"/>
      <c r="AC285" s="291"/>
      <c r="AD285" s="291"/>
      <c r="AE285" s="291"/>
      <c r="AF285" s="291"/>
      <c r="AG285" s="291"/>
      <c r="AH285" s="291"/>
      <c r="AI285" s="291"/>
      <c r="AJ285" s="291"/>
      <c r="AK285" s="291"/>
      <c r="AL285" s="291"/>
      <c r="AM285" s="291"/>
      <c r="AN285" s="291"/>
      <c r="AO285" s="291"/>
      <c r="AP285" s="291"/>
      <c r="AQ285" s="291"/>
      <c r="AR285" s="291"/>
      <c r="AS285" s="291"/>
      <c r="AT285" s="291"/>
      <c r="AU285" s="291"/>
      <c r="AV285" s="291"/>
      <c r="AW285" s="291"/>
      <c r="AX285" s="291"/>
    </row>
    <row r="286" spans="2:50" ht="23.1" customHeight="1" x14ac:dyDescent="0.3">
      <c r="B286" s="319"/>
      <c r="C286" s="320"/>
      <c r="D286" s="320"/>
      <c r="E286" s="320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S286" s="291"/>
      <c r="T286" s="291"/>
      <c r="U286" s="291"/>
      <c r="V286" s="291"/>
      <c r="W286" s="291"/>
      <c r="X286" s="291"/>
      <c r="Y286" s="291"/>
      <c r="Z286" s="291"/>
      <c r="AA286" s="291"/>
      <c r="AB286" s="291"/>
      <c r="AC286" s="291"/>
      <c r="AD286" s="291"/>
      <c r="AE286" s="291"/>
      <c r="AF286" s="291"/>
      <c r="AG286" s="291"/>
      <c r="AH286" s="291"/>
      <c r="AI286" s="291"/>
      <c r="AJ286" s="291"/>
      <c r="AK286" s="291"/>
      <c r="AL286" s="291"/>
      <c r="AM286" s="291"/>
      <c r="AN286" s="291"/>
      <c r="AO286" s="291"/>
      <c r="AP286" s="291"/>
      <c r="AQ286" s="291"/>
      <c r="AR286" s="291"/>
      <c r="AS286" s="291"/>
      <c r="AT286" s="291"/>
      <c r="AU286" s="291"/>
      <c r="AV286" s="291"/>
      <c r="AW286" s="291"/>
      <c r="AX286" s="291"/>
    </row>
    <row r="287" spans="2:50" ht="23.1" customHeight="1" x14ac:dyDescent="0.3">
      <c r="B287" s="319"/>
      <c r="C287" s="320"/>
      <c r="D287" s="320"/>
      <c r="E287" s="320"/>
      <c r="F287" s="291"/>
      <c r="G287" s="291"/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S287" s="291"/>
      <c r="T287" s="291"/>
      <c r="U287" s="291"/>
      <c r="V287" s="291"/>
      <c r="W287" s="291"/>
      <c r="X287" s="291"/>
      <c r="Y287" s="291"/>
      <c r="Z287" s="291"/>
      <c r="AA287" s="291"/>
      <c r="AB287" s="291"/>
      <c r="AC287" s="291"/>
      <c r="AD287" s="291"/>
      <c r="AE287" s="291"/>
      <c r="AF287" s="291"/>
      <c r="AG287" s="291"/>
      <c r="AH287" s="291"/>
      <c r="AI287" s="291"/>
      <c r="AJ287" s="291"/>
      <c r="AK287" s="291"/>
      <c r="AL287" s="291"/>
      <c r="AM287" s="291"/>
      <c r="AN287" s="291"/>
      <c r="AO287" s="291"/>
      <c r="AP287" s="291"/>
      <c r="AQ287" s="291"/>
      <c r="AR287" s="291"/>
      <c r="AS287" s="291"/>
      <c r="AT287" s="291"/>
      <c r="AU287" s="291"/>
      <c r="AV287" s="291"/>
      <c r="AW287" s="291"/>
      <c r="AX287" s="291"/>
    </row>
    <row r="288" spans="2:50" ht="23.1" customHeight="1" x14ac:dyDescent="0.3">
      <c r="B288" s="319"/>
      <c r="C288" s="320"/>
      <c r="D288" s="320"/>
      <c r="E288" s="320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S288" s="291"/>
      <c r="T288" s="291"/>
      <c r="U288" s="291"/>
      <c r="V288" s="291"/>
      <c r="W288" s="291"/>
      <c r="X288" s="291"/>
      <c r="Y288" s="291"/>
      <c r="Z288" s="291"/>
      <c r="AA288" s="291"/>
      <c r="AB288" s="291"/>
      <c r="AC288" s="291"/>
      <c r="AD288" s="291"/>
      <c r="AE288" s="291"/>
      <c r="AF288" s="291"/>
      <c r="AG288" s="291"/>
      <c r="AH288" s="291"/>
      <c r="AI288" s="291"/>
      <c r="AJ288" s="291"/>
      <c r="AK288" s="291"/>
      <c r="AL288" s="291"/>
      <c r="AM288" s="291"/>
      <c r="AN288" s="291"/>
      <c r="AO288" s="291"/>
      <c r="AP288" s="291"/>
      <c r="AQ288" s="291"/>
      <c r="AR288" s="291"/>
      <c r="AS288" s="291"/>
      <c r="AT288" s="291"/>
      <c r="AU288" s="291"/>
      <c r="AV288" s="291"/>
      <c r="AW288" s="291"/>
      <c r="AX288" s="291"/>
    </row>
    <row r="289" spans="2:50" ht="23.1" customHeight="1" x14ac:dyDescent="0.3">
      <c r="B289" s="319"/>
      <c r="C289" s="320"/>
      <c r="D289" s="320"/>
      <c r="E289" s="320"/>
      <c r="F289" s="291"/>
      <c r="G289" s="291"/>
      <c r="H289" s="291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S289" s="291"/>
      <c r="T289" s="291"/>
      <c r="U289" s="291"/>
      <c r="V289" s="291"/>
      <c r="W289" s="291"/>
      <c r="X289" s="291"/>
      <c r="Y289" s="291"/>
      <c r="Z289" s="291"/>
      <c r="AA289" s="291"/>
      <c r="AB289" s="291"/>
      <c r="AC289" s="291"/>
      <c r="AD289" s="291"/>
      <c r="AE289" s="291"/>
      <c r="AF289" s="291"/>
      <c r="AG289" s="291"/>
      <c r="AH289" s="291"/>
      <c r="AI289" s="291"/>
      <c r="AJ289" s="291"/>
      <c r="AK289" s="291"/>
      <c r="AL289" s="291"/>
      <c r="AM289" s="291"/>
      <c r="AN289" s="291"/>
      <c r="AO289" s="291"/>
      <c r="AP289" s="291"/>
      <c r="AQ289" s="291"/>
      <c r="AR289" s="291"/>
      <c r="AS289" s="291"/>
      <c r="AT289" s="291"/>
      <c r="AU289" s="291"/>
      <c r="AV289" s="291"/>
      <c r="AW289" s="291"/>
      <c r="AX289" s="291"/>
    </row>
    <row r="290" spans="2:50" ht="23.1" customHeight="1" x14ac:dyDescent="0.3">
      <c r="B290" s="319"/>
      <c r="C290" s="320"/>
      <c r="D290" s="320"/>
      <c r="E290" s="320"/>
      <c r="F290" s="291"/>
      <c r="G290" s="291"/>
      <c r="H290" s="291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S290" s="291"/>
      <c r="T290" s="291"/>
      <c r="U290" s="291"/>
      <c r="V290" s="291"/>
      <c r="W290" s="291"/>
      <c r="X290" s="291"/>
      <c r="Y290" s="291"/>
      <c r="Z290" s="291"/>
      <c r="AA290" s="291"/>
      <c r="AB290" s="291"/>
      <c r="AC290" s="291"/>
      <c r="AD290" s="291"/>
      <c r="AE290" s="291"/>
      <c r="AF290" s="291"/>
      <c r="AG290" s="291"/>
      <c r="AH290" s="291"/>
      <c r="AI290" s="291"/>
      <c r="AJ290" s="291"/>
      <c r="AK290" s="291"/>
      <c r="AL290" s="291"/>
      <c r="AM290" s="291"/>
      <c r="AN290" s="291"/>
      <c r="AO290" s="291"/>
      <c r="AP290" s="291"/>
      <c r="AQ290" s="291"/>
      <c r="AR290" s="291"/>
      <c r="AS290" s="291"/>
      <c r="AT290" s="291"/>
      <c r="AU290" s="291"/>
      <c r="AV290" s="291"/>
      <c r="AW290" s="291"/>
      <c r="AX290" s="291"/>
    </row>
    <row r="291" spans="2:50" ht="23.1" customHeight="1" x14ac:dyDescent="0.3">
      <c r="B291" s="319"/>
      <c r="C291" s="320"/>
      <c r="D291" s="320"/>
      <c r="E291" s="320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S291" s="291"/>
      <c r="T291" s="291"/>
      <c r="U291" s="291"/>
      <c r="V291" s="291"/>
      <c r="W291" s="291"/>
      <c r="X291" s="291"/>
      <c r="Y291" s="291"/>
      <c r="Z291" s="291"/>
      <c r="AA291" s="291"/>
      <c r="AB291" s="291"/>
      <c r="AC291" s="291"/>
      <c r="AD291" s="291"/>
      <c r="AE291" s="291"/>
      <c r="AF291" s="291"/>
      <c r="AG291" s="291"/>
      <c r="AH291" s="291"/>
      <c r="AI291" s="291"/>
      <c r="AJ291" s="291"/>
      <c r="AK291" s="291"/>
      <c r="AL291" s="291"/>
      <c r="AM291" s="291"/>
      <c r="AN291" s="291"/>
      <c r="AO291" s="291"/>
      <c r="AP291" s="291"/>
      <c r="AQ291" s="291"/>
      <c r="AR291" s="291"/>
      <c r="AS291" s="291"/>
      <c r="AT291" s="291"/>
      <c r="AU291" s="291"/>
      <c r="AV291" s="291"/>
      <c r="AW291" s="291"/>
      <c r="AX291" s="291"/>
    </row>
    <row r="292" spans="2:50" ht="23.1" customHeight="1" x14ac:dyDescent="0.3">
      <c r="B292" s="319"/>
      <c r="C292" s="320"/>
      <c r="D292" s="320"/>
      <c r="E292" s="320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S292" s="291"/>
      <c r="T292" s="291"/>
      <c r="U292" s="291"/>
      <c r="V292" s="291"/>
      <c r="W292" s="291"/>
      <c r="X292" s="291"/>
      <c r="Y292" s="291"/>
      <c r="Z292" s="291"/>
      <c r="AA292" s="291"/>
      <c r="AB292" s="291"/>
      <c r="AC292" s="291"/>
      <c r="AD292" s="291"/>
      <c r="AE292" s="291"/>
      <c r="AF292" s="291"/>
      <c r="AG292" s="291"/>
      <c r="AH292" s="291"/>
      <c r="AI292" s="291"/>
      <c r="AJ292" s="291"/>
      <c r="AK292" s="291"/>
      <c r="AL292" s="291"/>
      <c r="AM292" s="291"/>
      <c r="AN292" s="291"/>
      <c r="AO292" s="291"/>
      <c r="AP292" s="291"/>
      <c r="AQ292" s="291"/>
      <c r="AR292" s="291"/>
      <c r="AS292" s="291"/>
      <c r="AT292" s="291"/>
      <c r="AU292" s="291"/>
      <c r="AV292" s="291"/>
      <c r="AW292" s="291"/>
      <c r="AX292" s="291"/>
    </row>
    <row r="293" spans="2:50" ht="23.1" customHeight="1" x14ac:dyDescent="0.3">
      <c r="B293" s="319"/>
      <c r="C293" s="320"/>
      <c r="D293" s="320"/>
      <c r="E293" s="320"/>
      <c r="F293" s="291"/>
      <c r="G293" s="291"/>
      <c r="H293" s="291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S293" s="291"/>
      <c r="T293" s="291"/>
      <c r="U293" s="291"/>
      <c r="V293" s="291"/>
      <c r="W293" s="291"/>
      <c r="X293" s="291"/>
      <c r="Y293" s="291"/>
      <c r="Z293" s="291"/>
      <c r="AA293" s="291"/>
      <c r="AB293" s="291"/>
      <c r="AC293" s="291"/>
      <c r="AD293" s="291"/>
      <c r="AE293" s="291"/>
      <c r="AF293" s="291"/>
      <c r="AG293" s="291"/>
      <c r="AH293" s="291"/>
      <c r="AI293" s="291"/>
      <c r="AJ293" s="291"/>
      <c r="AK293" s="291"/>
      <c r="AL293" s="291"/>
      <c r="AM293" s="291"/>
      <c r="AN293" s="291"/>
      <c r="AO293" s="291"/>
      <c r="AP293" s="291"/>
      <c r="AQ293" s="291"/>
      <c r="AR293" s="291"/>
      <c r="AS293" s="291"/>
      <c r="AT293" s="291"/>
      <c r="AU293" s="291"/>
      <c r="AV293" s="291"/>
      <c r="AW293" s="291"/>
      <c r="AX293" s="291"/>
    </row>
    <row r="294" spans="2:50" ht="23.1" customHeight="1" x14ac:dyDescent="0.3">
      <c r="B294" s="319"/>
      <c r="C294" s="320"/>
      <c r="D294" s="320"/>
      <c r="E294" s="320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S294" s="291"/>
      <c r="T294" s="291"/>
      <c r="U294" s="291"/>
      <c r="V294" s="291"/>
      <c r="W294" s="291"/>
      <c r="X294" s="291"/>
      <c r="Y294" s="291"/>
      <c r="Z294" s="291"/>
      <c r="AA294" s="291"/>
      <c r="AB294" s="291"/>
      <c r="AC294" s="291"/>
      <c r="AD294" s="291"/>
      <c r="AE294" s="291"/>
      <c r="AF294" s="291"/>
      <c r="AG294" s="291"/>
      <c r="AH294" s="291"/>
      <c r="AI294" s="291"/>
      <c r="AJ294" s="291"/>
      <c r="AK294" s="291"/>
      <c r="AL294" s="291"/>
      <c r="AM294" s="291"/>
      <c r="AN294" s="291"/>
      <c r="AO294" s="291"/>
      <c r="AP294" s="291"/>
      <c r="AQ294" s="291"/>
      <c r="AR294" s="291"/>
      <c r="AS294" s="291"/>
      <c r="AT294" s="291"/>
      <c r="AU294" s="291"/>
      <c r="AV294" s="291"/>
      <c r="AW294" s="291"/>
      <c r="AX294" s="291"/>
    </row>
    <row r="295" spans="2:50" ht="23.1" customHeight="1" x14ac:dyDescent="0.3">
      <c r="B295" s="319"/>
      <c r="C295" s="320"/>
      <c r="D295" s="320"/>
      <c r="E295" s="320"/>
      <c r="F295" s="291"/>
      <c r="G295" s="291"/>
      <c r="H295" s="291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S295" s="291"/>
      <c r="T295" s="291"/>
      <c r="U295" s="291"/>
      <c r="V295" s="291"/>
      <c r="W295" s="291"/>
      <c r="X295" s="291"/>
      <c r="Y295" s="291"/>
      <c r="Z295" s="291"/>
      <c r="AA295" s="291"/>
      <c r="AB295" s="291"/>
      <c r="AC295" s="291"/>
      <c r="AD295" s="291"/>
      <c r="AE295" s="291"/>
      <c r="AF295" s="291"/>
      <c r="AG295" s="291"/>
      <c r="AH295" s="291"/>
      <c r="AI295" s="291"/>
      <c r="AJ295" s="291"/>
      <c r="AK295" s="291"/>
      <c r="AL295" s="291"/>
      <c r="AM295" s="291"/>
      <c r="AN295" s="291"/>
      <c r="AO295" s="291"/>
      <c r="AP295" s="291"/>
      <c r="AQ295" s="291"/>
      <c r="AR295" s="291"/>
      <c r="AS295" s="291"/>
      <c r="AT295" s="291"/>
      <c r="AU295" s="291"/>
      <c r="AV295" s="291"/>
      <c r="AW295" s="291"/>
      <c r="AX295" s="291"/>
    </row>
    <row r="296" spans="2:50" ht="23.1" customHeight="1" x14ac:dyDescent="0.3">
      <c r="B296" s="319"/>
      <c r="C296" s="320"/>
      <c r="D296" s="320"/>
      <c r="E296" s="320"/>
      <c r="F296" s="291"/>
      <c r="G296" s="291"/>
      <c r="H296" s="291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S296" s="291"/>
      <c r="T296" s="291"/>
      <c r="U296" s="291"/>
      <c r="V296" s="291"/>
      <c r="W296" s="291"/>
      <c r="X296" s="291"/>
      <c r="Y296" s="291"/>
      <c r="Z296" s="291"/>
      <c r="AA296" s="291"/>
      <c r="AB296" s="291"/>
      <c r="AC296" s="291"/>
      <c r="AD296" s="291"/>
      <c r="AE296" s="291"/>
      <c r="AF296" s="291"/>
      <c r="AG296" s="291"/>
      <c r="AH296" s="291"/>
      <c r="AI296" s="291"/>
      <c r="AJ296" s="291"/>
      <c r="AK296" s="291"/>
      <c r="AL296" s="291"/>
      <c r="AM296" s="291"/>
      <c r="AN296" s="291"/>
      <c r="AO296" s="291"/>
      <c r="AP296" s="291"/>
      <c r="AQ296" s="291"/>
      <c r="AR296" s="291"/>
      <c r="AS296" s="291"/>
      <c r="AT296" s="291"/>
      <c r="AU296" s="291"/>
      <c r="AV296" s="291"/>
      <c r="AW296" s="291"/>
      <c r="AX296" s="291"/>
    </row>
    <row r="297" spans="2:50" ht="23.1" customHeight="1" x14ac:dyDescent="0.3">
      <c r="B297" s="319"/>
      <c r="C297" s="320"/>
      <c r="D297" s="320"/>
      <c r="E297" s="320"/>
      <c r="F297" s="291"/>
      <c r="G297" s="291"/>
      <c r="H297" s="291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S297" s="291"/>
      <c r="T297" s="291"/>
      <c r="U297" s="291"/>
      <c r="V297" s="291"/>
      <c r="W297" s="291"/>
      <c r="X297" s="291"/>
      <c r="Y297" s="291"/>
      <c r="Z297" s="291"/>
      <c r="AA297" s="291"/>
      <c r="AB297" s="291"/>
      <c r="AC297" s="291"/>
      <c r="AD297" s="291"/>
      <c r="AE297" s="291"/>
      <c r="AF297" s="291"/>
      <c r="AG297" s="291"/>
      <c r="AH297" s="291"/>
      <c r="AI297" s="291"/>
      <c r="AJ297" s="291"/>
      <c r="AK297" s="291"/>
      <c r="AL297" s="291"/>
      <c r="AM297" s="291"/>
      <c r="AN297" s="291"/>
      <c r="AO297" s="291"/>
      <c r="AP297" s="291"/>
      <c r="AQ297" s="291"/>
      <c r="AR297" s="291"/>
      <c r="AS297" s="291"/>
      <c r="AT297" s="291"/>
      <c r="AU297" s="291"/>
      <c r="AV297" s="291"/>
      <c r="AW297" s="291"/>
      <c r="AX297" s="291"/>
    </row>
    <row r="298" spans="2:50" ht="23.1" customHeight="1" x14ac:dyDescent="0.3">
      <c r="B298" s="319"/>
      <c r="C298" s="320"/>
      <c r="D298" s="320"/>
      <c r="E298" s="320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S298" s="291"/>
      <c r="T298" s="291"/>
      <c r="U298" s="291"/>
      <c r="V298" s="291"/>
      <c r="W298" s="291"/>
      <c r="X298" s="291"/>
      <c r="Y298" s="291"/>
      <c r="Z298" s="291"/>
      <c r="AA298" s="291"/>
      <c r="AB298" s="291"/>
      <c r="AC298" s="291"/>
      <c r="AD298" s="291"/>
      <c r="AE298" s="291"/>
      <c r="AF298" s="291"/>
      <c r="AG298" s="291"/>
      <c r="AH298" s="291"/>
      <c r="AI298" s="291"/>
      <c r="AJ298" s="291"/>
      <c r="AK298" s="291"/>
      <c r="AL298" s="291"/>
      <c r="AM298" s="291"/>
      <c r="AN298" s="291"/>
      <c r="AO298" s="291"/>
      <c r="AP298" s="291"/>
      <c r="AQ298" s="291"/>
      <c r="AR298" s="291"/>
      <c r="AS298" s="291"/>
      <c r="AT298" s="291"/>
      <c r="AU298" s="291"/>
      <c r="AV298" s="291"/>
      <c r="AW298" s="291"/>
      <c r="AX298" s="291"/>
    </row>
    <row r="299" spans="2:50" ht="23.1" customHeight="1" x14ac:dyDescent="0.3">
      <c r="B299" s="319"/>
      <c r="C299" s="320"/>
      <c r="D299" s="320"/>
      <c r="E299" s="320"/>
      <c r="F299" s="291"/>
      <c r="G299" s="291"/>
      <c r="H299" s="291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S299" s="291"/>
      <c r="T299" s="291"/>
      <c r="U299" s="291"/>
      <c r="V299" s="291"/>
      <c r="W299" s="291"/>
      <c r="X299" s="291"/>
      <c r="Y299" s="291"/>
      <c r="Z299" s="291"/>
      <c r="AA299" s="291"/>
      <c r="AB299" s="291"/>
      <c r="AC299" s="291"/>
      <c r="AD299" s="291"/>
      <c r="AE299" s="291"/>
      <c r="AF299" s="291"/>
      <c r="AG299" s="291"/>
      <c r="AH299" s="291"/>
      <c r="AI299" s="291"/>
      <c r="AJ299" s="291"/>
      <c r="AK299" s="291"/>
      <c r="AL299" s="291"/>
      <c r="AM299" s="291"/>
      <c r="AN299" s="291"/>
      <c r="AO299" s="291"/>
      <c r="AP299" s="291"/>
      <c r="AQ299" s="291"/>
      <c r="AR299" s="291"/>
      <c r="AS299" s="291"/>
      <c r="AT299" s="291"/>
      <c r="AU299" s="291"/>
      <c r="AV299" s="291"/>
      <c r="AW299" s="291"/>
      <c r="AX299" s="291"/>
    </row>
    <row r="300" spans="2:50" ht="23.1" customHeight="1" x14ac:dyDescent="0.3">
      <c r="B300" s="319"/>
      <c r="C300" s="320"/>
      <c r="D300" s="320"/>
      <c r="E300" s="320"/>
      <c r="F300" s="291"/>
      <c r="G300" s="291"/>
      <c r="H300" s="291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S300" s="291"/>
      <c r="T300" s="291"/>
      <c r="U300" s="291"/>
      <c r="V300" s="291"/>
      <c r="W300" s="291"/>
      <c r="X300" s="291"/>
      <c r="Y300" s="291"/>
      <c r="Z300" s="291"/>
      <c r="AA300" s="291"/>
      <c r="AB300" s="291"/>
      <c r="AC300" s="291"/>
      <c r="AD300" s="291"/>
      <c r="AE300" s="291"/>
      <c r="AF300" s="291"/>
      <c r="AG300" s="291"/>
      <c r="AH300" s="291"/>
      <c r="AI300" s="291"/>
      <c r="AJ300" s="291"/>
      <c r="AK300" s="291"/>
      <c r="AL300" s="291"/>
      <c r="AM300" s="291"/>
      <c r="AN300" s="291"/>
      <c r="AO300" s="291"/>
      <c r="AP300" s="291"/>
      <c r="AQ300" s="291"/>
      <c r="AR300" s="291"/>
      <c r="AS300" s="291"/>
      <c r="AT300" s="291"/>
      <c r="AU300" s="291"/>
      <c r="AV300" s="291"/>
      <c r="AW300" s="291"/>
      <c r="AX300" s="291"/>
    </row>
    <row r="301" spans="2:50" ht="23.1" customHeight="1" x14ac:dyDescent="0.3">
      <c r="B301" s="319"/>
      <c r="C301" s="320"/>
      <c r="D301" s="320"/>
      <c r="E301" s="320"/>
      <c r="F301" s="291"/>
      <c r="G301" s="291"/>
      <c r="H301" s="291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S301" s="291"/>
      <c r="T301" s="291"/>
      <c r="U301" s="291"/>
      <c r="V301" s="291"/>
      <c r="W301" s="291"/>
      <c r="X301" s="291"/>
      <c r="Y301" s="291"/>
      <c r="Z301" s="291"/>
      <c r="AA301" s="291"/>
      <c r="AB301" s="291"/>
      <c r="AC301" s="291"/>
      <c r="AD301" s="291"/>
      <c r="AE301" s="291"/>
      <c r="AF301" s="291"/>
      <c r="AG301" s="291"/>
      <c r="AH301" s="291"/>
      <c r="AI301" s="291"/>
      <c r="AJ301" s="291"/>
      <c r="AK301" s="291"/>
      <c r="AL301" s="291"/>
      <c r="AM301" s="291"/>
      <c r="AN301" s="291"/>
      <c r="AO301" s="291"/>
      <c r="AP301" s="291"/>
      <c r="AQ301" s="291"/>
      <c r="AR301" s="291"/>
      <c r="AS301" s="291"/>
      <c r="AT301" s="291"/>
      <c r="AU301" s="291"/>
      <c r="AV301" s="291"/>
      <c r="AW301" s="291"/>
      <c r="AX301" s="291"/>
    </row>
    <row r="302" spans="2:50" ht="23.1" customHeight="1" x14ac:dyDescent="0.3">
      <c r="B302" s="319"/>
      <c r="C302" s="320"/>
      <c r="D302" s="320"/>
      <c r="E302" s="320"/>
      <c r="F302" s="291"/>
      <c r="G302" s="291"/>
      <c r="H302" s="291"/>
      <c r="I302" s="291"/>
      <c r="J302" s="291"/>
      <c r="K302" s="291"/>
      <c r="L302" s="291"/>
      <c r="M302" s="291"/>
      <c r="N302" s="291"/>
      <c r="O302" s="291"/>
      <c r="P302" s="291"/>
      <c r="Q302" s="291"/>
      <c r="R302" s="291"/>
      <c r="S302" s="291"/>
      <c r="T302" s="291"/>
      <c r="U302" s="291"/>
      <c r="V302" s="291"/>
      <c r="W302" s="291"/>
      <c r="X302" s="291"/>
      <c r="Y302" s="291"/>
      <c r="Z302" s="291"/>
      <c r="AA302" s="291"/>
      <c r="AB302" s="291"/>
      <c r="AC302" s="291"/>
      <c r="AD302" s="291"/>
      <c r="AE302" s="291"/>
      <c r="AF302" s="291"/>
      <c r="AG302" s="291"/>
      <c r="AH302" s="291"/>
      <c r="AI302" s="291"/>
      <c r="AJ302" s="291"/>
      <c r="AK302" s="291"/>
      <c r="AL302" s="291"/>
      <c r="AM302" s="291"/>
      <c r="AN302" s="291"/>
      <c r="AO302" s="291"/>
      <c r="AP302" s="291"/>
      <c r="AQ302" s="291"/>
      <c r="AR302" s="291"/>
      <c r="AS302" s="291"/>
      <c r="AT302" s="291"/>
      <c r="AU302" s="291"/>
      <c r="AV302" s="291"/>
      <c r="AW302" s="291"/>
      <c r="AX302" s="291"/>
    </row>
    <row r="303" spans="2:50" ht="23.1" customHeight="1" x14ac:dyDescent="0.3">
      <c r="B303" s="319"/>
      <c r="C303" s="320"/>
      <c r="D303" s="320"/>
      <c r="E303" s="320"/>
      <c r="F303" s="291"/>
      <c r="G303" s="291"/>
      <c r="H303" s="291"/>
      <c r="I303" s="291"/>
      <c r="J303" s="291"/>
      <c r="K303" s="291"/>
      <c r="L303" s="291"/>
      <c r="M303" s="291"/>
      <c r="N303" s="291"/>
      <c r="O303" s="291"/>
      <c r="P303" s="291"/>
      <c r="Q303" s="291"/>
      <c r="R303" s="291"/>
      <c r="S303" s="291"/>
      <c r="T303" s="291"/>
      <c r="U303" s="291"/>
      <c r="V303" s="291"/>
      <c r="W303" s="291"/>
      <c r="X303" s="291"/>
      <c r="Y303" s="291"/>
      <c r="Z303" s="291"/>
      <c r="AA303" s="291"/>
      <c r="AB303" s="291"/>
      <c r="AC303" s="291"/>
      <c r="AD303" s="291"/>
      <c r="AE303" s="291"/>
      <c r="AF303" s="291"/>
      <c r="AG303" s="291"/>
      <c r="AH303" s="291"/>
      <c r="AI303" s="291"/>
      <c r="AJ303" s="291"/>
      <c r="AK303" s="291"/>
      <c r="AL303" s="291"/>
      <c r="AM303" s="291"/>
      <c r="AN303" s="291"/>
      <c r="AO303" s="291"/>
      <c r="AP303" s="291"/>
      <c r="AQ303" s="291"/>
      <c r="AR303" s="291"/>
      <c r="AS303" s="291"/>
      <c r="AT303" s="291"/>
      <c r="AU303" s="291"/>
      <c r="AV303" s="291"/>
      <c r="AW303" s="291"/>
      <c r="AX303" s="291"/>
    </row>
    <row r="304" spans="2:50" ht="23.1" customHeight="1" x14ac:dyDescent="0.3">
      <c r="B304" s="319"/>
      <c r="C304" s="320"/>
      <c r="D304" s="320"/>
      <c r="E304" s="320"/>
      <c r="F304" s="291"/>
      <c r="G304" s="291"/>
      <c r="H304" s="291"/>
      <c r="I304" s="291"/>
      <c r="J304" s="291"/>
      <c r="K304" s="291"/>
      <c r="L304" s="291"/>
      <c r="M304" s="291"/>
      <c r="N304" s="291"/>
      <c r="O304" s="291"/>
      <c r="P304" s="291"/>
      <c r="Q304" s="291"/>
      <c r="R304" s="291"/>
      <c r="S304" s="291"/>
      <c r="T304" s="291"/>
      <c r="U304" s="291"/>
      <c r="V304" s="291"/>
      <c r="W304" s="291"/>
      <c r="X304" s="291"/>
      <c r="Y304" s="291"/>
      <c r="Z304" s="291"/>
      <c r="AA304" s="291"/>
      <c r="AB304" s="291"/>
      <c r="AC304" s="291"/>
      <c r="AD304" s="291"/>
      <c r="AE304" s="291"/>
      <c r="AF304" s="291"/>
      <c r="AG304" s="291"/>
      <c r="AH304" s="291"/>
      <c r="AI304" s="291"/>
      <c r="AJ304" s="291"/>
      <c r="AK304" s="291"/>
      <c r="AL304" s="291"/>
      <c r="AM304" s="291"/>
      <c r="AN304" s="291"/>
      <c r="AO304" s="291"/>
      <c r="AP304" s="291"/>
      <c r="AQ304" s="291"/>
      <c r="AR304" s="291"/>
      <c r="AS304" s="291"/>
      <c r="AT304" s="291"/>
      <c r="AU304" s="291"/>
      <c r="AV304" s="291"/>
      <c r="AW304" s="291"/>
      <c r="AX304" s="291"/>
    </row>
    <row r="305" spans="2:50" ht="23.1" customHeight="1" x14ac:dyDescent="0.3">
      <c r="B305" s="319"/>
      <c r="C305" s="320"/>
      <c r="D305" s="320"/>
      <c r="E305" s="320"/>
      <c r="F305" s="291"/>
      <c r="G305" s="291"/>
      <c r="H305" s="291"/>
      <c r="I305" s="291"/>
      <c r="J305" s="291"/>
      <c r="K305" s="291"/>
      <c r="L305" s="291"/>
      <c r="M305" s="291"/>
      <c r="N305" s="291"/>
      <c r="O305" s="291"/>
      <c r="P305" s="291"/>
      <c r="Q305" s="291"/>
      <c r="R305" s="291"/>
      <c r="S305" s="291"/>
      <c r="T305" s="291"/>
      <c r="U305" s="291"/>
      <c r="V305" s="291"/>
      <c r="W305" s="291"/>
      <c r="X305" s="291"/>
      <c r="Y305" s="291"/>
      <c r="Z305" s="291"/>
      <c r="AA305" s="291"/>
      <c r="AB305" s="291"/>
      <c r="AC305" s="291"/>
      <c r="AD305" s="291"/>
      <c r="AE305" s="291"/>
      <c r="AF305" s="291"/>
      <c r="AG305" s="291"/>
      <c r="AH305" s="291"/>
      <c r="AI305" s="291"/>
      <c r="AJ305" s="291"/>
      <c r="AK305" s="291"/>
      <c r="AL305" s="291"/>
      <c r="AM305" s="291"/>
      <c r="AN305" s="291"/>
      <c r="AO305" s="291"/>
      <c r="AP305" s="291"/>
      <c r="AQ305" s="291"/>
      <c r="AR305" s="291"/>
      <c r="AS305" s="291"/>
      <c r="AT305" s="291"/>
      <c r="AU305" s="291"/>
      <c r="AV305" s="291"/>
      <c r="AW305" s="291"/>
      <c r="AX305" s="291"/>
    </row>
    <row r="306" spans="2:50" ht="23.1" customHeight="1" x14ac:dyDescent="0.3">
      <c r="B306" s="319"/>
      <c r="C306" s="320"/>
      <c r="D306" s="320"/>
      <c r="E306" s="320"/>
      <c r="F306" s="291"/>
      <c r="G306" s="291"/>
      <c r="H306" s="291"/>
      <c r="I306" s="291"/>
      <c r="J306" s="291"/>
      <c r="K306" s="291"/>
      <c r="L306" s="291"/>
      <c r="M306" s="291"/>
      <c r="N306" s="291"/>
      <c r="O306" s="291"/>
      <c r="P306" s="291"/>
      <c r="Q306" s="291"/>
      <c r="R306" s="291"/>
      <c r="S306" s="291"/>
      <c r="T306" s="291"/>
      <c r="U306" s="291"/>
      <c r="V306" s="291"/>
      <c r="W306" s="291"/>
      <c r="X306" s="291"/>
      <c r="Y306" s="291"/>
      <c r="Z306" s="291"/>
      <c r="AA306" s="291"/>
      <c r="AB306" s="291"/>
      <c r="AC306" s="291"/>
      <c r="AD306" s="291"/>
      <c r="AE306" s="291"/>
      <c r="AF306" s="291"/>
      <c r="AG306" s="291"/>
      <c r="AH306" s="291"/>
      <c r="AI306" s="291"/>
      <c r="AJ306" s="291"/>
      <c r="AK306" s="291"/>
      <c r="AL306" s="291"/>
      <c r="AM306" s="291"/>
      <c r="AN306" s="291"/>
      <c r="AO306" s="291"/>
      <c r="AP306" s="291"/>
      <c r="AQ306" s="291"/>
      <c r="AR306" s="291"/>
      <c r="AS306" s="291"/>
      <c r="AT306" s="291"/>
      <c r="AU306" s="291"/>
      <c r="AV306" s="291"/>
      <c r="AW306" s="291"/>
      <c r="AX306" s="291"/>
    </row>
    <row r="307" spans="2:50" ht="23.1" customHeight="1" x14ac:dyDescent="0.3">
      <c r="B307" s="319"/>
      <c r="C307" s="320"/>
      <c r="D307" s="320"/>
      <c r="E307" s="320"/>
      <c r="F307" s="291"/>
      <c r="G307" s="291"/>
      <c r="H307" s="291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S307" s="291"/>
      <c r="T307" s="291"/>
      <c r="U307" s="291"/>
      <c r="V307" s="291"/>
      <c r="W307" s="291"/>
      <c r="X307" s="291"/>
      <c r="Y307" s="291"/>
      <c r="Z307" s="291"/>
      <c r="AA307" s="291"/>
      <c r="AB307" s="291"/>
      <c r="AC307" s="291"/>
      <c r="AD307" s="291"/>
      <c r="AE307" s="291"/>
      <c r="AF307" s="291"/>
      <c r="AG307" s="291"/>
      <c r="AH307" s="291"/>
      <c r="AI307" s="291"/>
      <c r="AJ307" s="291"/>
      <c r="AK307" s="291"/>
      <c r="AL307" s="291"/>
      <c r="AM307" s="291"/>
      <c r="AN307" s="291"/>
      <c r="AO307" s="291"/>
      <c r="AP307" s="291"/>
      <c r="AQ307" s="291"/>
      <c r="AR307" s="291"/>
      <c r="AS307" s="291"/>
      <c r="AT307" s="291"/>
      <c r="AU307" s="291"/>
      <c r="AV307" s="291"/>
      <c r="AW307" s="291"/>
      <c r="AX307" s="291"/>
    </row>
    <row r="308" spans="2:50" ht="23.1" customHeight="1" x14ac:dyDescent="0.3">
      <c r="B308" s="319"/>
      <c r="C308" s="320"/>
      <c r="D308" s="320"/>
      <c r="E308" s="320"/>
      <c r="F308" s="291"/>
      <c r="G308" s="291"/>
      <c r="H308" s="291"/>
      <c r="I308" s="291"/>
      <c r="J308" s="291"/>
      <c r="K308" s="291"/>
      <c r="L308" s="291"/>
      <c r="M308" s="291"/>
      <c r="N308" s="291"/>
      <c r="O308" s="291"/>
      <c r="P308" s="291"/>
      <c r="Q308" s="291"/>
      <c r="R308" s="291"/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</row>
    <row r="309" spans="2:50" ht="23.1" customHeight="1" x14ac:dyDescent="0.3">
      <c r="B309" s="319"/>
      <c r="C309" s="320"/>
      <c r="D309" s="320"/>
      <c r="E309" s="320"/>
      <c r="F309" s="291"/>
      <c r="G309" s="291"/>
      <c r="H309" s="291"/>
      <c r="I309" s="291"/>
      <c r="J309" s="291"/>
      <c r="K309" s="291"/>
      <c r="L309" s="291"/>
      <c r="M309" s="291"/>
      <c r="N309" s="291"/>
      <c r="O309" s="291"/>
      <c r="P309" s="291"/>
      <c r="Q309" s="291"/>
      <c r="R309" s="291"/>
      <c r="S309" s="291"/>
      <c r="T309" s="291"/>
      <c r="U309" s="291"/>
      <c r="V309" s="291"/>
      <c r="W309" s="291"/>
      <c r="X309" s="291"/>
      <c r="Y309" s="291"/>
      <c r="Z309" s="291"/>
      <c r="AA309" s="291"/>
      <c r="AB309" s="291"/>
      <c r="AC309" s="291"/>
      <c r="AD309" s="291"/>
      <c r="AE309" s="291"/>
      <c r="AF309" s="291"/>
      <c r="AG309" s="291"/>
      <c r="AH309" s="291"/>
      <c r="AI309" s="291"/>
      <c r="AJ309" s="291"/>
      <c r="AK309" s="291"/>
      <c r="AL309" s="291"/>
      <c r="AM309" s="291"/>
      <c r="AN309" s="291"/>
      <c r="AO309" s="291"/>
      <c r="AP309" s="291"/>
      <c r="AQ309" s="291"/>
      <c r="AR309" s="291"/>
      <c r="AS309" s="291"/>
      <c r="AT309" s="291"/>
      <c r="AU309" s="291"/>
      <c r="AV309" s="291"/>
      <c r="AW309" s="291"/>
      <c r="AX309" s="291"/>
    </row>
    <row r="310" spans="2:50" ht="23.1" customHeight="1" x14ac:dyDescent="0.3">
      <c r="B310" s="319"/>
      <c r="C310" s="320"/>
      <c r="D310" s="320"/>
      <c r="E310" s="320"/>
      <c r="F310" s="291"/>
      <c r="G310" s="291"/>
      <c r="H310" s="291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S310" s="291"/>
      <c r="T310" s="291"/>
      <c r="U310" s="291"/>
      <c r="V310" s="291"/>
      <c r="W310" s="291"/>
      <c r="X310" s="291"/>
      <c r="Y310" s="291"/>
      <c r="Z310" s="291"/>
      <c r="AA310" s="291"/>
      <c r="AB310" s="291"/>
      <c r="AC310" s="291"/>
      <c r="AD310" s="291"/>
      <c r="AE310" s="291"/>
      <c r="AF310" s="291"/>
      <c r="AG310" s="291"/>
      <c r="AH310" s="291"/>
      <c r="AI310" s="291"/>
      <c r="AJ310" s="291"/>
      <c r="AK310" s="291"/>
      <c r="AL310" s="291"/>
      <c r="AM310" s="291"/>
      <c r="AN310" s="291"/>
      <c r="AO310" s="291"/>
      <c r="AP310" s="291"/>
      <c r="AQ310" s="291"/>
      <c r="AR310" s="291"/>
      <c r="AS310" s="291"/>
      <c r="AT310" s="291"/>
      <c r="AU310" s="291"/>
      <c r="AV310" s="291"/>
      <c r="AW310" s="291"/>
      <c r="AX310" s="291"/>
    </row>
    <row r="311" spans="2:50" ht="23.1" customHeight="1" x14ac:dyDescent="0.3">
      <c r="B311" s="319"/>
      <c r="C311" s="320"/>
      <c r="D311" s="320"/>
      <c r="E311" s="320"/>
      <c r="F311" s="291"/>
      <c r="G311" s="291"/>
      <c r="H311" s="291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S311" s="291"/>
      <c r="T311" s="291"/>
      <c r="U311" s="291"/>
      <c r="V311" s="291"/>
      <c r="W311" s="291"/>
      <c r="X311" s="291"/>
      <c r="Y311" s="291"/>
      <c r="Z311" s="291"/>
      <c r="AA311" s="291"/>
      <c r="AB311" s="291"/>
      <c r="AC311" s="291"/>
      <c r="AD311" s="291"/>
      <c r="AE311" s="291"/>
      <c r="AF311" s="291"/>
      <c r="AG311" s="291"/>
      <c r="AH311" s="291"/>
      <c r="AI311" s="291"/>
      <c r="AJ311" s="291"/>
      <c r="AK311" s="291"/>
      <c r="AL311" s="291"/>
      <c r="AM311" s="291"/>
      <c r="AN311" s="291"/>
      <c r="AO311" s="291"/>
      <c r="AP311" s="291"/>
      <c r="AQ311" s="291"/>
      <c r="AR311" s="291"/>
      <c r="AS311" s="291"/>
      <c r="AT311" s="291"/>
      <c r="AU311" s="291"/>
      <c r="AV311" s="291"/>
      <c r="AW311" s="291"/>
      <c r="AX311" s="291"/>
    </row>
    <row r="312" spans="2:50" ht="23.1" customHeight="1" x14ac:dyDescent="0.3">
      <c r="B312" s="319"/>
      <c r="C312" s="320"/>
      <c r="D312" s="320"/>
      <c r="E312" s="320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S312" s="291"/>
      <c r="T312" s="291"/>
      <c r="U312" s="291"/>
      <c r="V312" s="291"/>
      <c r="W312" s="291"/>
      <c r="X312" s="291"/>
      <c r="Y312" s="291"/>
      <c r="Z312" s="291"/>
      <c r="AA312" s="291"/>
      <c r="AB312" s="291"/>
      <c r="AC312" s="291"/>
      <c r="AD312" s="291"/>
      <c r="AE312" s="291"/>
      <c r="AF312" s="291"/>
      <c r="AG312" s="291"/>
      <c r="AH312" s="291"/>
      <c r="AI312" s="291"/>
      <c r="AJ312" s="291"/>
      <c r="AK312" s="291"/>
      <c r="AL312" s="291"/>
      <c r="AM312" s="291"/>
      <c r="AN312" s="291"/>
      <c r="AO312" s="291"/>
      <c r="AP312" s="291"/>
      <c r="AQ312" s="291"/>
      <c r="AR312" s="291"/>
      <c r="AS312" s="291"/>
      <c r="AT312" s="291"/>
      <c r="AU312" s="291"/>
      <c r="AV312" s="291"/>
      <c r="AW312" s="291"/>
      <c r="AX312" s="291"/>
    </row>
    <row r="313" spans="2:50" ht="23.1" customHeight="1" x14ac:dyDescent="0.3">
      <c r="B313" s="319"/>
      <c r="C313" s="320"/>
      <c r="D313" s="320"/>
      <c r="E313" s="320"/>
      <c r="F313" s="291"/>
      <c r="G313" s="291"/>
      <c r="H313" s="291"/>
      <c r="I313" s="291"/>
      <c r="J313" s="291"/>
      <c r="K313" s="291"/>
      <c r="L313" s="291"/>
      <c r="M313" s="291"/>
      <c r="N313" s="291"/>
      <c r="O313" s="291"/>
      <c r="P313" s="291"/>
      <c r="Q313" s="291"/>
      <c r="R313" s="291"/>
      <c r="S313" s="291"/>
      <c r="T313" s="291"/>
      <c r="U313" s="291"/>
      <c r="V313" s="291"/>
      <c r="W313" s="291"/>
      <c r="X313" s="291"/>
      <c r="Y313" s="291"/>
      <c r="Z313" s="291"/>
      <c r="AA313" s="291"/>
      <c r="AB313" s="291"/>
      <c r="AC313" s="291"/>
      <c r="AD313" s="291"/>
      <c r="AE313" s="291"/>
      <c r="AF313" s="291"/>
      <c r="AG313" s="291"/>
      <c r="AH313" s="291"/>
      <c r="AI313" s="291"/>
      <c r="AJ313" s="291"/>
      <c r="AK313" s="291"/>
      <c r="AL313" s="291"/>
      <c r="AM313" s="291"/>
      <c r="AN313" s="291"/>
      <c r="AO313" s="291"/>
      <c r="AP313" s="291"/>
      <c r="AQ313" s="291"/>
      <c r="AR313" s="291"/>
      <c r="AS313" s="291"/>
      <c r="AT313" s="291"/>
      <c r="AU313" s="291"/>
      <c r="AV313" s="291"/>
      <c r="AW313" s="291"/>
      <c r="AX313" s="291"/>
    </row>
    <row r="314" spans="2:50" ht="23.1" customHeight="1" x14ac:dyDescent="0.3">
      <c r="B314" s="319"/>
      <c r="C314" s="320"/>
      <c r="D314" s="320"/>
      <c r="E314" s="320"/>
      <c r="F314" s="291"/>
      <c r="G314" s="291"/>
      <c r="H314" s="291"/>
      <c r="I314" s="291"/>
      <c r="J314" s="291"/>
      <c r="K314" s="291"/>
      <c r="L314" s="291"/>
      <c r="M314" s="291"/>
      <c r="N314" s="291"/>
      <c r="O314" s="291"/>
      <c r="P314" s="291"/>
      <c r="Q314" s="291"/>
      <c r="R314" s="291"/>
      <c r="S314" s="291"/>
      <c r="T314" s="291"/>
      <c r="U314" s="291"/>
      <c r="V314" s="291"/>
      <c r="W314" s="291"/>
      <c r="X314" s="291"/>
      <c r="Y314" s="291"/>
      <c r="Z314" s="291"/>
      <c r="AA314" s="291"/>
      <c r="AB314" s="291"/>
      <c r="AC314" s="291"/>
      <c r="AD314" s="291"/>
      <c r="AE314" s="291"/>
      <c r="AF314" s="291"/>
      <c r="AG314" s="291"/>
      <c r="AH314" s="291"/>
      <c r="AI314" s="291"/>
      <c r="AJ314" s="291"/>
      <c r="AK314" s="291"/>
      <c r="AL314" s="291"/>
      <c r="AM314" s="291"/>
      <c r="AN314" s="291"/>
      <c r="AO314" s="291"/>
      <c r="AP314" s="291"/>
      <c r="AQ314" s="291"/>
      <c r="AR314" s="291"/>
      <c r="AS314" s="291"/>
      <c r="AT314" s="291"/>
      <c r="AU314" s="291"/>
      <c r="AV314" s="291"/>
      <c r="AW314" s="291"/>
      <c r="AX314" s="291"/>
    </row>
    <row r="315" spans="2:50" ht="23.1" customHeight="1" x14ac:dyDescent="0.3">
      <c r="B315" s="319"/>
      <c r="C315" s="320"/>
      <c r="D315" s="320"/>
      <c r="E315" s="320"/>
      <c r="F315" s="291"/>
      <c r="G315" s="291"/>
      <c r="H315" s="291"/>
      <c r="I315" s="291"/>
      <c r="J315" s="291"/>
      <c r="K315" s="291"/>
      <c r="L315" s="291"/>
      <c r="M315" s="291"/>
      <c r="N315" s="291"/>
      <c r="O315" s="291"/>
      <c r="P315" s="291"/>
      <c r="Q315" s="291"/>
      <c r="R315" s="291"/>
      <c r="S315" s="291"/>
      <c r="T315" s="291"/>
      <c r="U315" s="291"/>
      <c r="V315" s="291"/>
      <c r="W315" s="291"/>
      <c r="X315" s="291"/>
      <c r="Y315" s="291"/>
      <c r="Z315" s="291"/>
      <c r="AA315" s="291"/>
      <c r="AB315" s="291"/>
      <c r="AC315" s="291"/>
      <c r="AD315" s="291"/>
      <c r="AE315" s="291"/>
      <c r="AF315" s="291"/>
      <c r="AG315" s="291"/>
      <c r="AH315" s="291"/>
      <c r="AI315" s="291"/>
      <c r="AJ315" s="291"/>
      <c r="AK315" s="291"/>
      <c r="AL315" s="291"/>
      <c r="AM315" s="291"/>
      <c r="AN315" s="291"/>
      <c r="AO315" s="291"/>
      <c r="AP315" s="291"/>
      <c r="AQ315" s="291"/>
      <c r="AR315" s="291"/>
      <c r="AS315" s="291"/>
      <c r="AT315" s="291"/>
      <c r="AU315" s="291"/>
      <c r="AV315" s="291"/>
      <c r="AW315" s="291"/>
      <c r="AX315" s="291"/>
    </row>
    <row r="316" spans="2:50" ht="23.1" customHeight="1" x14ac:dyDescent="0.3">
      <c r="B316" s="319"/>
      <c r="C316" s="320"/>
      <c r="D316" s="320"/>
      <c r="E316" s="320"/>
      <c r="F316" s="291"/>
      <c r="G316" s="291"/>
      <c r="H316" s="291"/>
      <c r="I316" s="291"/>
      <c r="J316" s="291"/>
      <c r="K316" s="291"/>
      <c r="L316" s="291"/>
      <c r="M316" s="291"/>
      <c r="N316" s="291"/>
      <c r="O316" s="291"/>
      <c r="P316" s="291"/>
      <c r="Q316" s="291"/>
      <c r="R316" s="291"/>
      <c r="S316" s="291"/>
      <c r="T316" s="291"/>
      <c r="U316" s="291"/>
      <c r="V316" s="291"/>
      <c r="W316" s="291"/>
      <c r="X316" s="291"/>
      <c r="Y316" s="291"/>
      <c r="Z316" s="291"/>
      <c r="AA316" s="291"/>
      <c r="AB316" s="291"/>
      <c r="AC316" s="291"/>
      <c r="AD316" s="291"/>
      <c r="AE316" s="291"/>
      <c r="AF316" s="291"/>
      <c r="AG316" s="291"/>
      <c r="AH316" s="291"/>
      <c r="AI316" s="291"/>
      <c r="AJ316" s="291"/>
      <c r="AK316" s="291"/>
      <c r="AL316" s="291"/>
      <c r="AM316" s="291"/>
      <c r="AN316" s="291"/>
      <c r="AO316" s="291"/>
      <c r="AP316" s="291"/>
      <c r="AQ316" s="291"/>
      <c r="AR316" s="291"/>
      <c r="AS316" s="291"/>
      <c r="AT316" s="291"/>
      <c r="AU316" s="291"/>
      <c r="AV316" s="291"/>
      <c r="AW316" s="291"/>
      <c r="AX316" s="291"/>
    </row>
    <row r="317" spans="2:50" ht="23.1" customHeight="1" x14ac:dyDescent="0.3">
      <c r="B317" s="319"/>
      <c r="C317" s="320"/>
      <c r="D317" s="320"/>
      <c r="E317" s="320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S317" s="291"/>
      <c r="T317" s="291"/>
      <c r="U317" s="291"/>
      <c r="V317" s="291"/>
      <c r="W317" s="291"/>
      <c r="X317" s="291"/>
      <c r="Y317" s="291"/>
      <c r="Z317" s="291"/>
      <c r="AA317" s="291"/>
      <c r="AB317" s="291"/>
      <c r="AC317" s="291"/>
      <c r="AD317" s="291"/>
      <c r="AE317" s="291"/>
      <c r="AF317" s="291"/>
      <c r="AG317" s="291"/>
      <c r="AH317" s="291"/>
      <c r="AI317" s="291"/>
      <c r="AJ317" s="291"/>
      <c r="AK317" s="291"/>
      <c r="AL317" s="291"/>
      <c r="AM317" s="291"/>
      <c r="AN317" s="291"/>
      <c r="AO317" s="291"/>
      <c r="AP317" s="291"/>
      <c r="AQ317" s="291"/>
      <c r="AR317" s="291"/>
      <c r="AS317" s="291"/>
      <c r="AT317" s="291"/>
      <c r="AU317" s="291"/>
      <c r="AV317" s="291"/>
      <c r="AW317" s="291"/>
      <c r="AX317" s="291"/>
    </row>
    <row r="318" spans="2:50" ht="23.1" customHeight="1" x14ac:dyDescent="0.3">
      <c r="B318" s="319"/>
      <c r="C318" s="320"/>
      <c r="D318" s="320"/>
      <c r="E318" s="320"/>
      <c r="F318" s="291"/>
      <c r="G318" s="291"/>
      <c r="H318" s="291"/>
      <c r="I318" s="291"/>
      <c r="J318" s="291"/>
      <c r="K318" s="291"/>
      <c r="L318" s="291"/>
      <c r="M318" s="291"/>
      <c r="N318" s="291"/>
      <c r="O318" s="291"/>
      <c r="P318" s="291"/>
      <c r="Q318" s="291"/>
      <c r="R318" s="291"/>
      <c r="S318" s="291"/>
      <c r="T318" s="291"/>
      <c r="U318" s="291"/>
      <c r="V318" s="291"/>
      <c r="W318" s="291"/>
      <c r="X318" s="291"/>
      <c r="Y318" s="291"/>
      <c r="Z318" s="291"/>
      <c r="AA318" s="291"/>
      <c r="AB318" s="291"/>
      <c r="AC318" s="291"/>
      <c r="AD318" s="291"/>
      <c r="AE318" s="291"/>
      <c r="AF318" s="291"/>
      <c r="AG318" s="291"/>
      <c r="AH318" s="291"/>
      <c r="AI318" s="291"/>
      <c r="AJ318" s="291"/>
      <c r="AK318" s="291"/>
      <c r="AL318" s="291"/>
      <c r="AM318" s="291"/>
      <c r="AN318" s="291"/>
      <c r="AO318" s="291"/>
      <c r="AP318" s="291"/>
      <c r="AQ318" s="291"/>
      <c r="AR318" s="291"/>
      <c r="AS318" s="291"/>
      <c r="AT318" s="291"/>
      <c r="AU318" s="291"/>
      <c r="AV318" s="291"/>
      <c r="AW318" s="291"/>
      <c r="AX318" s="291"/>
    </row>
    <row r="319" spans="2:50" ht="23.1" customHeight="1" x14ac:dyDescent="0.3">
      <c r="B319" s="319"/>
      <c r="C319" s="320"/>
      <c r="D319" s="320"/>
      <c r="E319" s="320"/>
      <c r="F319" s="291"/>
      <c r="G319" s="291"/>
      <c r="H319" s="291"/>
      <c r="I319" s="291"/>
      <c r="J319" s="291"/>
      <c r="K319" s="291"/>
      <c r="L319" s="291"/>
      <c r="M319" s="291"/>
      <c r="N319" s="291"/>
      <c r="O319" s="291"/>
      <c r="P319" s="291"/>
      <c r="Q319" s="291"/>
      <c r="R319" s="291"/>
      <c r="S319" s="291"/>
      <c r="T319" s="291"/>
      <c r="U319" s="291"/>
      <c r="V319" s="291"/>
      <c r="W319" s="291"/>
      <c r="X319" s="291"/>
      <c r="Y319" s="291"/>
      <c r="Z319" s="291"/>
      <c r="AA319" s="291"/>
      <c r="AB319" s="291"/>
      <c r="AC319" s="291"/>
      <c r="AD319" s="291"/>
      <c r="AE319" s="291"/>
      <c r="AF319" s="291"/>
      <c r="AG319" s="291"/>
      <c r="AH319" s="291"/>
      <c r="AI319" s="291"/>
      <c r="AJ319" s="291"/>
      <c r="AK319" s="291"/>
      <c r="AL319" s="291"/>
      <c r="AM319" s="291"/>
      <c r="AN319" s="291"/>
      <c r="AO319" s="291"/>
      <c r="AP319" s="291"/>
      <c r="AQ319" s="291"/>
      <c r="AR319" s="291"/>
      <c r="AS319" s="291"/>
      <c r="AT319" s="291"/>
      <c r="AU319" s="291"/>
      <c r="AV319" s="291"/>
      <c r="AW319" s="291"/>
      <c r="AX319" s="291"/>
    </row>
    <row r="320" spans="2:50" ht="23.1" customHeight="1" x14ac:dyDescent="0.3">
      <c r="B320" s="319"/>
      <c r="C320" s="320"/>
      <c r="D320" s="320"/>
      <c r="E320" s="320"/>
      <c r="F320" s="291"/>
      <c r="G320" s="291"/>
      <c r="H320" s="291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S320" s="291"/>
      <c r="T320" s="291"/>
      <c r="U320" s="291"/>
      <c r="V320" s="291"/>
      <c r="W320" s="291"/>
      <c r="X320" s="291"/>
      <c r="Y320" s="291"/>
      <c r="Z320" s="291"/>
      <c r="AA320" s="291"/>
      <c r="AB320" s="291"/>
      <c r="AC320" s="291"/>
      <c r="AD320" s="291"/>
      <c r="AE320" s="291"/>
      <c r="AF320" s="291"/>
      <c r="AG320" s="291"/>
      <c r="AH320" s="291"/>
      <c r="AI320" s="291"/>
      <c r="AJ320" s="291"/>
      <c r="AK320" s="291"/>
      <c r="AL320" s="291"/>
      <c r="AM320" s="291"/>
      <c r="AN320" s="291"/>
      <c r="AO320" s="291"/>
      <c r="AP320" s="291"/>
      <c r="AQ320" s="291"/>
      <c r="AR320" s="291"/>
      <c r="AS320" s="291"/>
      <c r="AT320" s="291"/>
      <c r="AU320" s="291"/>
      <c r="AV320" s="291"/>
      <c r="AW320" s="291"/>
      <c r="AX320" s="291"/>
    </row>
    <row r="321" spans="2:50" ht="23.1" customHeight="1" x14ac:dyDescent="0.3">
      <c r="B321" s="319"/>
      <c r="C321" s="320"/>
      <c r="D321" s="320"/>
      <c r="E321" s="320"/>
      <c r="F321" s="291"/>
      <c r="G321" s="291"/>
      <c r="H321" s="291"/>
      <c r="I321" s="291"/>
      <c r="J321" s="291"/>
      <c r="K321" s="291"/>
      <c r="L321" s="291"/>
      <c r="M321" s="291"/>
      <c r="N321" s="291"/>
      <c r="O321" s="291"/>
      <c r="P321" s="291"/>
      <c r="Q321" s="291"/>
      <c r="R321" s="291"/>
      <c r="S321" s="291"/>
      <c r="T321" s="291"/>
      <c r="U321" s="291"/>
      <c r="V321" s="291"/>
      <c r="W321" s="291"/>
      <c r="X321" s="291"/>
      <c r="Y321" s="291"/>
      <c r="Z321" s="291"/>
      <c r="AA321" s="291"/>
      <c r="AB321" s="291"/>
      <c r="AC321" s="291"/>
      <c r="AD321" s="291"/>
      <c r="AE321" s="291"/>
      <c r="AF321" s="291"/>
      <c r="AG321" s="291"/>
      <c r="AH321" s="291"/>
      <c r="AI321" s="291"/>
      <c r="AJ321" s="291"/>
      <c r="AK321" s="291"/>
      <c r="AL321" s="291"/>
      <c r="AM321" s="291"/>
      <c r="AN321" s="291"/>
      <c r="AO321" s="291"/>
      <c r="AP321" s="291"/>
      <c r="AQ321" s="291"/>
      <c r="AR321" s="291"/>
      <c r="AS321" s="291"/>
      <c r="AT321" s="291"/>
      <c r="AU321" s="291"/>
      <c r="AV321" s="291"/>
      <c r="AW321" s="291"/>
      <c r="AX321" s="291"/>
    </row>
    <row r="322" spans="2:50" ht="23.1" customHeight="1" x14ac:dyDescent="0.3">
      <c r="B322" s="319"/>
      <c r="C322" s="320"/>
      <c r="D322" s="320"/>
      <c r="E322" s="320"/>
      <c r="F322" s="291"/>
      <c r="G322" s="291"/>
      <c r="H322" s="291"/>
      <c r="I322" s="291"/>
      <c r="J322" s="291"/>
      <c r="K322" s="291"/>
      <c r="L322" s="291"/>
      <c r="M322" s="291"/>
      <c r="N322" s="291"/>
      <c r="O322" s="291"/>
      <c r="P322" s="291"/>
      <c r="Q322" s="291"/>
      <c r="R322" s="291"/>
      <c r="S322" s="291"/>
      <c r="T322" s="291"/>
      <c r="U322" s="291"/>
      <c r="V322" s="291"/>
      <c r="W322" s="291"/>
      <c r="X322" s="291"/>
      <c r="Y322" s="291"/>
      <c r="Z322" s="291"/>
      <c r="AA322" s="291"/>
      <c r="AB322" s="291"/>
      <c r="AC322" s="291"/>
      <c r="AD322" s="291"/>
      <c r="AE322" s="291"/>
      <c r="AF322" s="291"/>
      <c r="AG322" s="291"/>
      <c r="AH322" s="291"/>
      <c r="AI322" s="291"/>
      <c r="AJ322" s="291"/>
      <c r="AK322" s="291"/>
      <c r="AL322" s="291"/>
      <c r="AM322" s="291"/>
      <c r="AN322" s="291"/>
      <c r="AO322" s="291"/>
      <c r="AP322" s="291"/>
      <c r="AQ322" s="291"/>
      <c r="AR322" s="291"/>
      <c r="AS322" s="291"/>
      <c r="AT322" s="291"/>
      <c r="AU322" s="291"/>
      <c r="AV322" s="291"/>
      <c r="AW322" s="291"/>
      <c r="AX322" s="291"/>
    </row>
    <row r="323" spans="2:50" ht="23.1" customHeight="1" x14ac:dyDescent="0.3">
      <c r="B323" s="319"/>
      <c r="C323" s="320"/>
      <c r="D323" s="320"/>
      <c r="E323" s="320"/>
      <c r="F323" s="291"/>
      <c r="G323" s="291"/>
      <c r="H323" s="291"/>
      <c r="I323" s="291"/>
      <c r="J323" s="291"/>
      <c r="K323" s="291"/>
      <c r="L323" s="291"/>
      <c r="M323" s="291"/>
      <c r="N323" s="291"/>
      <c r="O323" s="291"/>
      <c r="P323" s="291"/>
      <c r="Q323" s="291"/>
      <c r="R323" s="291"/>
      <c r="S323" s="291"/>
      <c r="T323" s="291"/>
      <c r="U323" s="291"/>
      <c r="V323" s="291"/>
      <c r="W323" s="291"/>
      <c r="X323" s="291"/>
      <c r="Y323" s="291"/>
      <c r="Z323" s="291"/>
      <c r="AA323" s="291"/>
      <c r="AB323" s="291"/>
      <c r="AC323" s="291"/>
      <c r="AD323" s="291"/>
      <c r="AE323" s="291"/>
      <c r="AF323" s="291"/>
      <c r="AG323" s="291"/>
      <c r="AH323" s="291"/>
      <c r="AI323" s="291"/>
      <c r="AJ323" s="291"/>
      <c r="AK323" s="291"/>
      <c r="AL323" s="291"/>
      <c r="AM323" s="291"/>
      <c r="AN323" s="291"/>
      <c r="AO323" s="291"/>
      <c r="AP323" s="291"/>
      <c r="AQ323" s="291"/>
      <c r="AR323" s="291"/>
      <c r="AS323" s="291"/>
      <c r="AT323" s="291"/>
      <c r="AU323" s="291"/>
      <c r="AV323" s="291"/>
      <c r="AW323" s="291"/>
      <c r="AX323" s="291"/>
    </row>
    <row r="324" spans="2:50" ht="23.1" customHeight="1" x14ac:dyDescent="0.3">
      <c r="B324" s="319"/>
      <c r="C324" s="320"/>
      <c r="D324" s="320"/>
      <c r="E324" s="320"/>
      <c r="F324" s="291"/>
      <c r="G324" s="291"/>
      <c r="H324" s="291"/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S324" s="291"/>
      <c r="T324" s="291"/>
      <c r="U324" s="291"/>
      <c r="V324" s="291"/>
      <c r="W324" s="291"/>
      <c r="X324" s="291"/>
      <c r="Y324" s="291"/>
      <c r="Z324" s="291"/>
      <c r="AA324" s="291"/>
      <c r="AB324" s="291"/>
      <c r="AC324" s="291"/>
      <c r="AD324" s="291"/>
      <c r="AE324" s="291"/>
      <c r="AF324" s="291"/>
      <c r="AG324" s="291"/>
      <c r="AH324" s="291"/>
      <c r="AI324" s="291"/>
      <c r="AJ324" s="291"/>
      <c r="AK324" s="291"/>
      <c r="AL324" s="291"/>
      <c r="AM324" s="291"/>
      <c r="AN324" s="291"/>
      <c r="AO324" s="291"/>
      <c r="AP324" s="291"/>
      <c r="AQ324" s="291"/>
      <c r="AR324" s="291"/>
      <c r="AS324" s="291"/>
      <c r="AT324" s="291"/>
      <c r="AU324" s="291"/>
      <c r="AV324" s="291"/>
      <c r="AW324" s="291"/>
      <c r="AX324" s="291"/>
    </row>
    <row r="325" spans="2:50" ht="23.1" customHeight="1" x14ac:dyDescent="0.3">
      <c r="B325" s="319"/>
      <c r="C325" s="320"/>
      <c r="D325" s="320"/>
      <c r="E325" s="320"/>
      <c r="F325" s="291"/>
      <c r="G325" s="291"/>
      <c r="H325" s="291"/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S325" s="291"/>
      <c r="T325" s="291"/>
      <c r="U325" s="291"/>
      <c r="V325" s="291"/>
      <c r="W325" s="291"/>
      <c r="X325" s="291"/>
      <c r="Y325" s="291"/>
      <c r="Z325" s="291"/>
      <c r="AA325" s="291"/>
      <c r="AB325" s="291"/>
      <c r="AC325" s="291"/>
      <c r="AD325" s="291"/>
      <c r="AE325" s="291"/>
      <c r="AF325" s="291"/>
      <c r="AG325" s="291"/>
      <c r="AH325" s="291"/>
      <c r="AI325" s="291"/>
      <c r="AJ325" s="291"/>
      <c r="AK325" s="291"/>
      <c r="AL325" s="291"/>
      <c r="AM325" s="291"/>
      <c r="AN325" s="291"/>
      <c r="AO325" s="291"/>
      <c r="AP325" s="291"/>
      <c r="AQ325" s="291"/>
      <c r="AR325" s="291"/>
      <c r="AS325" s="291"/>
      <c r="AT325" s="291"/>
      <c r="AU325" s="291"/>
      <c r="AV325" s="291"/>
      <c r="AW325" s="291"/>
      <c r="AX325" s="291"/>
    </row>
    <row r="326" spans="2:50" ht="23.1" customHeight="1" x14ac:dyDescent="0.3">
      <c r="B326" s="319"/>
      <c r="C326" s="320"/>
      <c r="D326" s="320"/>
      <c r="E326" s="320"/>
      <c r="F326" s="291"/>
      <c r="G326" s="291"/>
      <c r="H326" s="291"/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S326" s="291"/>
      <c r="T326" s="291"/>
      <c r="U326" s="291"/>
      <c r="V326" s="291"/>
      <c r="W326" s="291"/>
      <c r="X326" s="291"/>
      <c r="Y326" s="291"/>
      <c r="Z326" s="291"/>
      <c r="AA326" s="291"/>
      <c r="AB326" s="291"/>
      <c r="AC326" s="291"/>
      <c r="AD326" s="291"/>
      <c r="AE326" s="291"/>
      <c r="AF326" s="291"/>
      <c r="AG326" s="291"/>
      <c r="AH326" s="291"/>
      <c r="AI326" s="291"/>
      <c r="AJ326" s="291"/>
      <c r="AK326" s="291"/>
      <c r="AL326" s="291"/>
      <c r="AM326" s="291"/>
      <c r="AN326" s="291"/>
      <c r="AO326" s="291"/>
      <c r="AP326" s="291"/>
      <c r="AQ326" s="291"/>
      <c r="AR326" s="291"/>
      <c r="AS326" s="291"/>
      <c r="AT326" s="291"/>
      <c r="AU326" s="291"/>
      <c r="AV326" s="291"/>
      <c r="AW326" s="291"/>
      <c r="AX326" s="291"/>
    </row>
    <row r="327" spans="2:50" ht="23.1" customHeight="1" x14ac:dyDescent="0.3">
      <c r="B327" s="319"/>
      <c r="C327" s="320"/>
      <c r="D327" s="320"/>
      <c r="E327" s="320"/>
      <c r="F327" s="291"/>
      <c r="G327" s="291"/>
      <c r="H327" s="291"/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S327" s="291"/>
      <c r="T327" s="291"/>
      <c r="U327" s="291"/>
      <c r="V327" s="291"/>
      <c r="W327" s="291"/>
      <c r="X327" s="291"/>
      <c r="Y327" s="291"/>
      <c r="Z327" s="291"/>
      <c r="AA327" s="291"/>
      <c r="AB327" s="291"/>
      <c r="AC327" s="291"/>
      <c r="AD327" s="291"/>
      <c r="AE327" s="291"/>
      <c r="AF327" s="291"/>
      <c r="AG327" s="291"/>
      <c r="AH327" s="291"/>
      <c r="AI327" s="291"/>
      <c r="AJ327" s="291"/>
      <c r="AK327" s="291"/>
      <c r="AL327" s="291"/>
      <c r="AM327" s="291"/>
      <c r="AN327" s="291"/>
      <c r="AO327" s="291"/>
      <c r="AP327" s="291"/>
      <c r="AQ327" s="291"/>
      <c r="AR327" s="291"/>
      <c r="AS327" s="291"/>
      <c r="AT327" s="291"/>
      <c r="AU327" s="291"/>
      <c r="AV327" s="291"/>
      <c r="AW327" s="291"/>
      <c r="AX327" s="291"/>
    </row>
    <row r="328" spans="2:50" ht="23.1" customHeight="1" x14ac:dyDescent="0.3">
      <c r="B328" s="319"/>
      <c r="C328" s="320"/>
      <c r="D328" s="320"/>
      <c r="E328" s="320"/>
      <c r="F328" s="291"/>
      <c r="G328" s="291"/>
      <c r="H328" s="291"/>
      <c r="I328" s="291"/>
      <c r="J328" s="291"/>
      <c r="K328" s="291"/>
      <c r="L328" s="291"/>
      <c r="M328" s="291"/>
      <c r="N328" s="291"/>
      <c r="O328" s="291"/>
      <c r="P328" s="291"/>
      <c r="Q328" s="291"/>
      <c r="R328" s="291"/>
      <c r="S328" s="291"/>
      <c r="T328" s="291"/>
      <c r="U328" s="291"/>
      <c r="V328" s="291"/>
      <c r="W328" s="291"/>
      <c r="X328" s="291"/>
      <c r="Y328" s="291"/>
      <c r="Z328" s="291"/>
      <c r="AA328" s="291"/>
      <c r="AB328" s="291"/>
      <c r="AC328" s="291"/>
      <c r="AD328" s="291"/>
      <c r="AE328" s="291"/>
      <c r="AF328" s="291"/>
      <c r="AG328" s="291"/>
      <c r="AH328" s="291"/>
      <c r="AI328" s="291"/>
      <c r="AJ328" s="291"/>
      <c r="AK328" s="291"/>
      <c r="AL328" s="291"/>
      <c r="AM328" s="291"/>
      <c r="AN328" s="291"/>
      <c r="AO328" s="291"/>
      <c r="AP328" s="291"/>
      <c r="AQ328" s="291"/>
      <c r="AR328" s="291"/>
      <c r="AS328" s="291"/>
      <c r="AT328" s="291"/>
      <c r="AU328" s="291"/>
      <c r="AV328" s="291"/>
      <c r="AW328" s="291"/>
      <c r="AX328" s="291"/>
    </row>
    <row r="329" spans="2:50" ht="23.1" customHeight="1" x14ac:dyDescent="0.3">
      <c r="B329" s="319"/>
      <c r="C329" s="320"/>
      <c r="D329" s="320"/>
      <c r="E329" s="320"/>
      <c r="F329" s="291"/>
      <c r="G329" s="291"/>
      <c r="H329" s="291"/>
      <c r="I329" s="291"/>
      <c r="J329" s="291"/>
      <c r="K329" s="291"/>
      <c r="L329" s="291"/>
      <c r="M329" s="291"/>
      <c r="N329" s="291"/>
      <c r="O329" s="291"/>
      <c r="P329" s="291"/>
      <c r="Q329" s="291"/>
      <c r="R329" s="291"/>
      <c r="S329" s="291"/>
      <c r="T329" s="291"/>
      <c r="U329" s="291"/>
      <c r="V329" s="291"/>
      <c r="W329" s="291"/>
      <c r="X329" s="291"/>
      <c r="Y329" s="291"/>
      <c r="Z329" s="291"/>
      <c r="AA329" s="291"/>
      <c r="AB329" s="291"/>
      <c r="AC329" s="291"/>
      <c r="AD329" s="291"/>
      <c r="AE329" s="291"/>
      <c r="AF329" s="291"/>
      <c r="AG329" s="291"/>
      <c r="AH329" s="291"/>
      <c r="AI329" s="291"/>
      <c r="AJ329" s="291"/>
      <c r="AK329" s="291"/>
      <c r="AL329" s="291"/>
      <c r="AM329" s="291"/>
      <c r="AN329" s="291"/>
      <c r="AO329" s="291"/>
      <c r="AP329" s="291"/>
      <c r="AQ329" s="291"/>
      <c r="AR329" s="291"/>
      <c r="AS329" s="291"/>
      <c r="AT329" s="291"/>
      <c r="AU329" s="291"/>
      <c r="AV329" s="291"/>
      <c r="AW329" s="291"/>
      <c r="AX329" s="291"/>
    </row>
    <row r="330" spans="2:50" ht="23.1" customHeight="1" x14ac:dyDescent="0.3">
      <c r="B330" s="319"/>
      <c r="C330" s="320"/>
      <c r="D330" s="320"/>
      <c r="E330" s="320"/>
      <c r="F330" s="291"/>
      <c r="G330" s="291"/>
      <c r="H330" s="291"/>
      <c r="I330" s="291"/>
      <c r="J330" s="291"/>
      <c r="K330" s="291"/>
      <c r="L330" s="291"/>
      <c r="M330" s="291"/>
      <c r="N330" s="291"/>
      <c r="O330" s="291"/>
      <c r="P330" s="291"/>
      <c r="Q330" s="291"/>
      <c r="R330" s="291"/>
      <c r="S330" s="291"/>
      <c r="T330" s="291"/>
      <c r="U330" s="291"/>
      <c r="V330" s="291"/>
      <c r="W330" s="291"/>
      <c r="X330" s="291"/>
      <c r="Y330" s="291"/>
      <c r="Z330" s="291"/>
      <c r="AA330" s="291"/>
      <c r="AB330" s="291"/>
      <c r="AC330" s="291"/>
      <c r="AD330" s="291"/>
      <c r="AE330" s="291"/>
      <c r="AF330" s="291"/>
      <c r="AG330" s="291"/>
      <c r="AH330" s="291"/>
      <c r="AI330" s="291"/>
      <c r="AJ330" s="291"/>
      <c r="AK330" s="291"/>
      <c r="AL330" s="291"/>
      <c r="AM330" s="291"/>
      <c r="AN330" s="291"/>
      <c r="AO330" s="291"/>
      <c r="AP330" s="291"/>
      <c r="AQ330" s="291"/>
      <c r="AR330" s="291"/>
      <c r="AS330" s="291"/>
      <c r="AT330" s="291"/>
      <c r="AU330" s="291"/>
      <c r="AV330" s="291"/>
      <c r="AW330" s="291"/>
      <c r="AX330" s="291"/>
    </row>
    <row r="331" spans="2:50" ht="23.1" customHeight="1" x14ac:dyDescent="0.3">
      <c r="B331" s="319"/>
      <c r="C331" s="320"/>
      <c r="D331" s="320"/>
      <c r="E331" s="320"/>
      <c r="F331" s="291"/>
      <c r="G331" s="291"/>
      <c r="H331" s="291"/>
      <c r="I331" s="291"/>
      <c r="J331" s="291"/>
      <c r="K331" s="291"/>
      <c r="L331" s="291"/>
      <c r="M331" s="291"/>
      <c r="N331" s="291"/>
      <c r="O331" s="291"/>
      <c r="P331" s="291"/>
      <c r="Q331" s="291"/>
      <c r="R331" s="291"/>
      <c r="S331" s="291"/>
      <c r="T331" s="291"/>
      <c r="U331" s="291"/>
      <c r="V331" s="291"/>
      <c r="W331" s="291"/>
      <c r="X331" s="291"/>
      <c r="Y331" s="291"/>
      <c r="Z331" s="291"/>
      <c r="AA331" s="291"/>
      <c r="AB331" s="291"/>
      <c r="AC331" s="291"/>
      <c r="AD331" s="291"/>
      <c r="AE331" s="291"/>
      <c r="AF331" s="291"/>
      <c r="AG331" s="291"/>
      <c r="AH331" s="291"/>
      <c r="AI331" s="291"/>
      <c r="AJ331" s="291"/>
      <c r="AK331" s="291"/>
      <c r="AL331" s="291"/>
      <c r="AM331" s="291"/>
      <c r="AN331" s="291"/>
      <c r="AO331" s="291"/>
      <c r="AP331" s="291"/>
      <c r="AQ331" s="291"/>
      <c r="AR331" s="291"/>
      <c r="AS331" s="291"/>
      <c r="AT331" s="291"/>
      <c r="AU331" s="291"/>
      <c r="AV331" s="291"/>
      <c r="AW331" s="291"/>
      <c r="AX331" s="291"/>
    </row>
    <row r="332" spans="2:50" ht="23.1" customHeight="1" x14ac:dyDescent="0.3">
      <c r="B332" s="319"/>
      <c r="C332" s="320"/>
      <c r="D332" s="320"/>
      <c r="E332" s="320"/>
      <c r="F332" s="291"/>
      <c r="G332" s="291"/>
      <c r="H332" s="291"/>
      <c r="I332" s="291"/>
      <c r="J332" s="291"/>
      <c r="K332" s="291"/>
      <c r="L332" s="291"/>
      <c r="M332" s="291"/>
      <c r="N332" s="291"/>
      <c r="O332" s="291"/>
      <c r="P332" s="291"/>
      <c r="Q332" s="291"/>
      <c r="R332" s="291"/>
      <c r="S332" s="291"/>
      <c r="T332" s="291"/>
      <c r="U332" s="291"/>
      <c r="V332" s="291"/>
      <c r="W332" s="291"/>
      <c r="X332" s="291"/>
      <c r="Y332" s="291"/>
      <c r="Z332" s="291"/>
      <c r="AA332" s="291"/>
      <c r="AB332" s="291"/>
      <c r="AC332" s="291"/>
      <c r="AD332" s="291"/>
      <c r="AE332" s="291"/>
      <c r="AF332" s="291"/>
      <c r="AG332" s="291"/>
      <c r="AH332" s="291"/>
      <c r="AI332" s="291"/>
      <c r="AJ332" s="291"/>
      <c r="AK332" s="291"/>
      <c r="AL332" s="291"/>
      <c r="AM332" s="291"/>
      <c r="AN332" s="291"/>
      <c r="AO332" s="291"/>
      <c r="AP332" s="291"/>
      <c r="AQ332" s="291"/>
      <c r="AR332" s="291"/>
      <c r="AS332" s="291"/>
      <c r="AT332" s="291"/>
      <c r="AU332" s="291"/>
      <c r="AV332" s="291"/>
      <c r="AW332" s="291"/>
      <c r="AX332" s="291"/>
    </row>
    <row r="333" spans="2:50" ht="23.1" customHeight="1" x14ac:dyDescent="0.3">
      <c r="B333" s="319"/>
      <c r="C333" s="320"/>
      <c r="D333" s="320"/>
      <c r="E333" s="320"/>
      <c r="F333" s="291"/>
      <c r="G333" s="291"/>
      <c r="H333" s="291"/>
      <c r="I333" s="291"/>
      <c r="J333" s="291"/>
      <c r="K333" s="291"/>
      <c r="L333" s="291"/>
      <c r="M333" s="291"/>
      <c r="N333" s="291"/>
      <c r="O333" s="291"/>
      <c r="P333" s="291"/>
      <c r="Q333" s="291"/>
      <c r="R333" s="291"/>
      <c r="S333" s="291"/>
      <c r="T333" s="291"/>
      <c r="U333" s="291"/>
      <c r="V333" s="291"/>
      <c r="W333" s="291"/>
      <c r="X333" s="291"/>
      <c r="Y333" s="291"/>
      <c r="Z333" s="291"/>
      <c r="AA333" s="291"/>
      <c r="AB333" s="291"/>
      <c r="AC333" s="291"/>
      <c r="AD333" s="291"/>
      <c r="AE333" s="291"/>
      <c r="AF333" s="291"/>
      <c r="AG333" s="291"/>
      <c r="AH333" s="291"/>
      <c r="AI333" s="291"/>
      <c r="AJ333" s="291"/>
      <c r="AK333" s="291"/>
      <c r="AL333" s="291"/>
      <c r="AM333" s="291"/>
      <c r="AN333" s="291"/>
      <c r="AO333" s="291"/>
      <c r="AP333" s="291"/>
      <c r="AQ333" s="291"/>
      <c r="AR333" s="291"/>
      <c r="AS333" s="291"/>
      <c r="AT333" s="291"/>
      <c r="AU333" s="291"/>
      <c r="AV333" s="291"/>
      <c r="AW333" s="291"/>
      <c r="AX333" s="291"/>
    </row>
    <row r="334" spans="2:50" ht="23.1" customHeight="1" x14ac:dyDescent="0.3">
      <c r="B334" s="319"/>
      <c r="C334" s="320"/>
      <c r="D334" s="320"/>
      <c r="E334" s="320"/>
      <c r="F334" s="291"/>
      <c r="G334" s="291"/>
      <c r="H334" s="291"/>
      <c r="I334" s="291"/>
      <c r="J334" s="291"/>
      <c r="K334" s="291"/>
      <c r="L334" s="291"/>
      <c r="M334" s="291"/>
      <c r="N334" s="291"/>
      <c r="O334" s="291"/>
      <c r="P334" s="291"/>
      <c r="Q334" s="291"/>
      <c r="R334" s="291"/>
      <c r="S334" s="291"/>
      <c r="T334" s="291"/>
      <c r="U334" s="291"/>
      <c r="V334" s="291"/>
      <c r="W334" s="291"/>
      <c r="X334" s="291"/>
      <c r="Y334" s="291"/>
      <c r="Z334" s="291"/>
      <c r="AA334" s="291"/>
      <c r="AB334" s="291"/>
      <c r="AC334" s="291"/>
      <c r="AD334" s="291"/>
      <c r="AE334" s="291"/>
      <c r="AF334" s="291"/>
      <c r="AG334" s="291"/>
      <c r="AH334" s="291"/>
      <c r="AI334" s="291"/>
      <c r="AJ334" s="291"/>
      <c r="AK334" s="291"/>
      <c r="AL334" s="291"/>
      <c r="AM334" s="291"/>
      <c r="AN334" s="291"/>
      <c r="AO334" s="291"/>
      <c r="AP334" s="291"/>
      <c r="AQ334" s="291"/>
      <c r="AR334" s="291"/>
      <c r="AS334" s="291"/>
      <c r="AT334" s="291"/>
      <c r="AU334" s="291"/>
      <c r="AV334" s="291"/>
      <c r="AW334" s="291"/>
      <c r="AX334" s="291"/>
    </row>
    <row r="335" spans="2:50" ht="23.1" customHeight="1" x14ac:dyDescent="0.3">
      <c r="B335" s="319"/>
      <c r="C335" s="320"/>
      <c r="D335" s="320"/>
      <c r="E335" s="320"/>
      <c r="F335" s="291"/>
      <c r="G335" s="291"/>
      <c r="H335" s="291"/>
      <c r="I335" s="291"/>
      <c r="J335" s="291"/>
      <c r="K335" s="291"/>
      <c r="L335" s="291"/>
      <c r="M335" s="291"/>
      <c r="N335" s="291"/>
      <c r="O335" s="291"/>
      <c r="P335" s="291"/>
      <c r="Q335" s="291"/>
      <c r="R335" s="291"/>
      <c r="S335" s="291"/>
      <c r="T335" s="291"/>
      <c r="U335" s="291"/>
      <c r="V335" s="291"/>
      <c r="W335" s="291"/>
      <c r="X335" s="291"/>
      <c r="Y335" s="291"/>
      <c r="Z335" s="291"/>
      <c r="AA335" s="291"/>
      <c r="AB335" s="291"/>
      <c r="AC335" s="291"/>
      <c r="AD335" s="291"/>
      <c r="AE335" s="291"/>
      <c r="AF335" s="291"/>
      <c r="AG335" s="291"/>
      <c r="AH335" s="291"/>
      <c r="AI335" s="291"/>
      <c r="AJ335" s="291"/>
      <c r="AK335" s="291"/>
      <c r="AL335" s="291"/>
      <c r="AM335" s="291"/>
      <c r="AN335" s="291"/>
      <c r="AO335" s="291"/>
      <c r="AP335" s="291"/>
      <c r="AQ335" s="291"/>
      <c r="AR335" s="291"/>
      <c r="AS335" s="291"/>
      <c r="AT335" s="291"/>
      <c r="AU335" s="291"/>
      <c r="AV335" s="291"/>
      <c r="AW335" s="291"/>
      <c r="AX335" s="291"/>
    </row>
    <row r="336" spans="2:50" ht="23.1" customHeight="1" x14ac:dyDescent="0.3">
      <c r="B336" s="319"/>
      <c r="C336" s="320"/>
      <c r="D336" s="320"/>
      <c r="E336" s="320"/>
      <c r="F336" s="291"/>
      <c r="G336" s="291"/>
      <c r="H336" s="291"/>
      <c r="I336" s="291"/>
      <c r="J336" s="291"/>
      <c r="K336" s="291"/>
      <c r="L336" s="291"/>
      <c r="M336" s="291"/>
      <c r="N336" s="291"/>
      <c r="O336" s="291"/>
      <c r="P336" s="291"/>
      <c r="Q336" s="291"/>
      <c r="R336" s="291"/>
      <c r="S336" s="291"/>
      <c r="T336" s="291"/>
      <c r="U336" s="291"/>
      <c r="V336" s="291"/>
      <c r="W336" s="291"/>
      <c r="X336" s="291"/>
      <c r="Y336" s="291"/>
      <c r="Z336" s="291"/>
      <c r="AA336" s="291"/>
      <c r="AB336" s="291"/>
      <c r="AC336" s="291"/>
      <c r="AD336" s="291"/>
      <c r="AE336" s="291"/>
      <c r="AF336" s="291"/>
      <c r="AG336" s="291"/>
      <c r="AH336" s="291"/>
      <c r="AI336" s="291"/>
      <c r="AJ336" s="291"/>
      <c r="AK336" s="291"/>
      <c r="AL336" s="291"/>
      <c r="AM336" s="291"/>
      <c r="AN336" s="291"/>
      <c r="AO336" s="291"/>
      <c r="AP336" s="291"/>
      <c r="AQ336" s="291"/>
      <c r="AR336" s="291"/>
      <c r="AS336" s="291"/>
      <c r="AT336" s="291"/>
      <c r="AU336" s="291"/>
      <c r="AV336" s="291"/>
      <c r="AW336" s="291"/>
      <c r="AX336" s="291"/>
    </row>
    <row r="337" spans="2:50" ht="23.1" customHeight="1" x14ac:dyDescent="0.3">
      <c r="B337" s="319"/>
      <c r="C337" s="320"/>
      <c r="D337" s="320"/>
      <c r="E337" s="320"/>
      <c r="F337" s="291"/>
      <c r="G337" s="291"/>
      <c r="H337" s="291"/>
      <c r="I337" s="291"/>
      <c r="J337" s="291"/>
      <c r="K337" s="291"/>
      <c r="L337" s="291"/>
      <c r="M337" s="291"/>
      <c r="N337" s="291"/>
      <c r="O337" s="291"/>
      <c r="P337" s="291"/>
      <c r="Q337" s="291"/>
      <c r="R337" s="291"/>
      <c r="S337" s="291"/>
      <c r="T337" s="291"/>
      <c r="U337" s="291"/>
      <c r="V337" s="291"/>
      <c r="W337" s="291"/>
      <c r="X337" s="291"/>
      <c r="Y337" s="291"/>
      <c r="Z337" s="291"/>
      <c r="AA337" s="291"/>
      <c r="AB337" s="291"/>
      <c r="AC337" s="291"/>
      <c r="AD337" s="291"/>
      <c r="AE337" s="291"/>
      <c r="AF337" s="291"/>
      <c r="AG337" s="291"/>
      <c r="AH337" s="291"/>
      <c r="AI337" s="291"/>
      <c r="AJ337" s="291"/>
      <c r="AK337" s="291"/>
      <c r="AL337" s="291"/>
      <c r="AM337" s="291"/>
      <c r="AN337" s="291"/>
      <c r="AO337" s="291"/>
      <c r="AP337" s="291"/>
      <c r="AQ337" s="291"/>
      <c r="AR337" s="291"/>
      <c r="AS337" s="291"/>
      <c r="AT337" s="291"/>
      <c r="AU337" s="291"/>
      <c r="AV337" s="291"/>
      <c r="AW337" s="291"/>
      <c r="AX337" s="291"/>
    </row>
    <row r="338" spans="2:50" ht="23.1" customHeight="1" x14ac:dyDescent="0.3">
      <c r="B338" s="319"/>
      <c r="C338" s="320"/>
      <c r="D338" s="320"/>
      <c r="E338" s="320"/>
      <c r="F338" s="291"/>
      <c r="G338" s="291"/>
      <c r="H338" s="291"/>
      <c r="I338" s="291"/>
      <c r="J338" s="291"/>
      <c r="K338" s="291"/>
      <c r="L338" s="291"/>
      <c r="M338" s="291"/>
      <c r="N338" s="291"/>
      <c r="O338" s="291"/>
      <c r="P338" s="291"/>
      <c r="Q338" s="291"/>
      <c r="R338" s="291"/>
      <c r="S338" s="291"/>
      <c r="T338" s="291"/>
      <c r="U338" s="291"/>
      <c r="V338" s="291"/>
      <c r="W338" s="291"/>
      <c r="X338" s="291"/>
      <c r="Y338" s="291"/>
      <c r="Z338" s="291"/>
      <c r="AA338" s="291"/>
      <c r="AB338" s="291"/>
      <c r="AC338" s="291"/>
      <c r="AD338" s="291"/>
      <c r="AE338" s="291"/>
      <c r="AF338" s="291"/>
      <c r="AG338" s="291"/>
      <c r="AH338" s="291"/>
      <c r="AI338" s="291"/>
      <c r="AJ338" s="291"/>
      <c r="AK338" s="291"/>
      <c r="AL338" s="291"/>
      <c r="AM338" s="291"/>
      <c r="AN338" s="291"/>
      <c r="AO338" s="291"/>
      <c r="AP338" s="291"/>
      <c r="AQ338" s="291"/>
      <c r="AR338" s="291"/>
      <c r="AS338" s="291"/>
      <c r="AT338" s="291"/>
      <c r="AU338" s="291"/>
      <c r="AV338" s="291"/>
      <c r="AW338" s="291"/>
      <c r="AX338" s="291"/>
    </row>
    <row r="339" spans="2:50" ht="23.1" customHeight="1" x14ac:dyDescent="0.3">
      <c r="B339" s="319"/>
      <c r="C339" s="320"/>
      <c r="D339" s="320"/>
      <c r="E339" s="320"/>
      <c r="F339" s="291"/>
      <c r="G339" s="291"/>
      <c r="H339" s="291"/>
      <c r="I339" s="291"/>
      <c r="J339" s="291"/>
      <c r="K339" s="291"/>
      <c r="L339" s="291"/>
      <c r="M339" s="291"/>
      <c r="N339" s="291"/>
      <c r="O339" s="291"/>
      <c r="P339" s="291"/>
      <c r="Q339" s="291"/>
      <c r="R339" s="291"/>
      <c r="S339" s="291"/>
      <c r="T339" s="291"/>
      <c r="U339" s="291"/>
      <c r="V339" s="291"/>
      <c r="W339" s="291"/>
      <c r="X339" s="291"/>
      <c r="Y339" s="291"/>
      <c r="Z339" s="291"/>
      <c r="AA339" s="291"/>
      <c r="AB339" s="291"/>
      <c r="AC339" s="291"/>
      <c r="AD339" s="291"/>
      <c r="AE339" s="291"/>
      <c r="AF339" s="291"/>
      <c r="AG339" s="291"/>
      <c r="AH339" s="291"/>
      <c r="AI339" s="291"/>
      <c r="AJ339" s="291"/>
      <c r="AK339" s="291"/>
      <c r="AL339" s="291"/>
      <c r="AM339" s="291"/>
      <c r="AN339" s="291"/>
      <c r="AO339" s="291"/>
      <c r="AP339" s="291"/>
      <c r="AQ339" s="291"/>
      <c r="AR339" s="291"/>
      <c r="AS339" s="291"/>
      <c r="AT339" s="291"/>
      <c r="AU339" s="291"/>
      <c r="AV339" s="291"/>
      <c r="AW339" s="291"/>
      <c r="AX339" s="291"/>
    </row>
    <row r="340" spans="2:50" ht="23.1" customHeight="1" x14ac:dyDescent="0.3">
      <c r="B340" s="319"/>
      <c r="C340" s="320"/>
      <c r="D340" s="320"/>
      <c r="E340" s="320"/>
      <c r="F340" s="291"/>
      <c r="G340" s="291"/>
      <c r="H340" s="291"/>
      <c r="I340" s="291"/>
      <c r="J340" s="291"/>
      <c r="K340" s="291"/>
      <c r="L340" s="291"/>
      <c r="M340" s="291"/>
      <c r="N340" s="291"/>
      <c r="O340" s="291"/>
      <c r="P340" s="291"/>
      <c r="Q340" s="291"/>
      <c r="R340" s="291"/>
      <c r="S340" s="291"/>
      <c r="T340" s="291"/>
      <c r="U340" s="291"/>
      <c r="V340" s="291"/>
      <c r="W340" s="291"/>
      <c r="X340" s="291"/>
      <c r="Y340" s="291"/>
      <c r="Z340" s="291"/>
      <c r="AA340" s="291"/>
      <c r="AB340" s="291"/>
      <c r="AC340" s="291"/>
      <c r="AD340" s="291"/>
      <c r="AE340" s="291"/>
      <c r="AF340" s="291"/>
      <c r="AG340" s="291"/>
      <c r="AH340" s="291"/>
      <c r="AI340" s="291"/>
      <c r="AJ340" s="291"/>
      <c r="AK340" s="291"/>
      <c r="AL340" s="291"/>
      <c r="AM340" s="291"/>
      <c r="AN340" s="291"/>
      <c r="AO340" s="291"/>
      <c r="AP340" s="291"/>
      <c r="AQ340" s="291"/>
      <c r="AR340" s="291"/>
      <c r="AS340" s="291"/>
      <c r="AT340" s="291"/>
      <c r="AU340" s="291"/>
      <c r="AV340" s="291"/>
      <c r="AW340" s="291"/>
      <c r="AX340" s="291"/>
    </row>
    <row r="341" spans="2:50" ht="23.1" customHeight="1" x14ac:dyDescent="0.3">
      <c r="B341" s="319"/>
      <c r="C341" s="320"/>
      <c r="D341" s="320"/>
      <c r="E341" s="320"/>
      <c r="F341" s="291"/>
      <c r="G341" s="291"/>
      <c r="H341" s="291"/>
      <c r="I341" s="291"/>
      <c r="J341" s="291"/>
      <c r="K341" s="291"/>
      <c r="L341" s="291"/>
      <c r="M341" s="291"/>
      <c r="N341" s="291"/>
      <c r="O341" s="291"/>
      <c r="P341" s="291"/>
      <c r="Q341" s="291"/>
      <c r="R341" s="291"/>
      <c r="S341" s="291"/>
      <c r="T341" s="291"/>
      <c r="U341" s="291"/>
      <c r="V341" s="291"/>
      <c r="W341" s="291"/>
      <c r="X341" s="291"/>
      <c r="Y341" s="291"/>
      <c r="Z341" s="291"/>
      <c r="AA341" s="291"/>
      <c r="AB341" s="291"/>
      <c r="AC341" s="291"/>
      <c r="AD341" s="291"/>
      <c r="AE341" s="291"/>
      <c r="AF341" s="291"/>
      <c r="AG341" s="291"/>
      <c r="AH341" s="291"/>
      <c r="AI341" s="291"/>
      <c r="AJ341" s="291"/>
      <c r="AK341" s="291"/>
      <c r="AL341" s="291"/>
      <c r="AM341" s="291"/>
      <c r="AN341" s="291"/>
      <c r="AO341" s="291"/>
      <c r="AP341" s="291"/>
      <c r="AQ341" s="291"/>
      <c r="AR341" s="291"/>
      <c r="AS341" s="291"/>
      <c r="AT341" s="291"/>
      <c r="AU341" s="291"/>
      <c r="AV341" s="291"/>
      <c r="AW341" s="291"/>
      <c r="AX341" s="291"/>
    </row>
    <row r="342" spans="2:50" ht="23.1" customHeight="1" x14ac:dyDescent="0.3">
      <c r="B342" s="319"/>
      <c r="C342" s="320"/>
      <c r="D342" s="320"/>
      <c r="E342" s="320"/>
      <c r="F342" s="291"/>
      <c r="G342" s="291"/>
      <c r="H342" s="291"/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S342" s="291"/>
      <c r="T342" s="291"/>
      <c r="U342" s="291"/>
      <c r="V342" s="291"/>
      <c r="W342" s="291"/>
      <c r="X342" s="291"/>
      <c r="Y342" s="291"/>
      <c r="Z342" s="291"/>
      <c r="AA342" s="291"/>
      <c r="AB342" s="291"/>
      <c r="AC342" s="291"/>
      <c r="AD342" s="291"/>
      <c r="AE342" s="291"/>
      <c r="AF342" s="291"/>
      <c r="AG342" s="291"/>
      <c r="AH342" s="291"/>
      <c r="AI342" s="291"/>
      <c r="AJ342" s="291"/>
      <c r="AK342" s="291"/>
      <c r="AL342" s="291"/>
      <c r="AM342" s="291"/>
      <c r="AN342" s="291"/>
      <c r="AO342" s="291"/>
      <c r="AP342" s="291"/>
      <c r="AQ342" s="291"/>
      <c r="AR342" s="291"/>
      <c r="AS342" s="291"/>
      <c r="AT342" s="291"/>
      <c r="AU342" s="291"/>
      <c r="AV342" s="291"/>
      <c r="AW342" s="291"/>
      <c r="AX342" s="291"/>
    </row>
    <row r="343" spans="2:50" ht="23.1" customHeight="1" x14ac:dyDescent="0.3">
      <c r="B343" s="319"/>
      <c r="C343" s="320"/>
      <c r="D343" s="320"/>
      <c r="E343" s="320"/>
      <c r="F343" s="291"/>
      <c r="G343" s="291"/>
      <c r="H343" s="291"/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S343" s="291"/>
      <c r="T343" s="291"/>
      <c r="U343" s="291"/>
      <c r="V343" s="291"/>
      <c r="W343" s="291"/>
      <c r="X343" s="291"/>
      <c r="Y343" s="291"/>
      <c r="Z343" s="291"/>
      <c r="AA343" s="291"/>
      <c r="AB343" s="291"/>
      <c r="AC343" s="291"/>
      <c r="AD343" s="291"/>
      <c r="AE343" s="291"/>
      <c r="AF343" s="291"/>
      <c r="AG343" s="291"/>
      <c r="AH343" s="291"/>
      <c r="AI343" s="291"/>
      <c r="AJ343" s="291"/>
      <c r="AK343" s="291"/>
      <c r="AL343" s="291"/>
      <c r="AM343" s="291"/>
      <c r="AN343" s="291"/>
      <c r="AO343" s="291"/>
      <c r="AP343" s="291"/>
      <c r="AQ343" s="291"/>
      <c r="AR343" s="291"/>
      <c r="AS343" s="291"/>
      <c r="AT343" s="291"/>
      <c r="AU343" s="291"/>
      <c r="AV343" s="291"/>
      <c r="AW343" s="291"/>
      <c r="AX343" s="291"/>
    </row>
    <row r="344" spans="2:50" ht="23.1" customHeight="1" x14ac:dyDescent="0.3">
      <c r="B344" s="319"/>
      <c r="C344" s="320"/>
      <c r="D344" s="320"/>
      <c r="E344" s="320"/>
      <c r="F344" s="291"/>
      <c r="G344" s="291"/>
      <c r="H344" s="291"/>
      <c r="I344" s="291"/>
      <c r="J344" s="291"/>
      <c r="K344" s="291"/>
      <c r="L344" s="291"/>
      <c r="M344" s="291"/>
      <c r="N344" s="291"/>
      <c r="O344" s="291"/>
      <c r="P344" s="291"/>
      <c r="Q344" s="291"/>
      <c r="R344" s="291"/>
      <c r="S344" s="291"/>
      <c r="T344" s="291"/>
      <c r="U344" s="291"/>
      <c r="V344" s="291"/>
      <c r="W344" s="291"/>
      <c r="X344" s="291"/>
      <c r="Y344" s="291"/>
      <c r="Z344" s="291"/>
      <c r="AA344" s="291"/>
      <c r="AB344" s="291"/>
      <c r="AC344" s="291"/>
      <c r="AD344" s="291"/>
      <c r="AE344" s="291"/>
      <c r="AF344" s="291"/>
      <c r="AG344" s="291"/>
      <c r="AH344" s="291"/>
      <c r="AI344" s="291"/>
      <c r="AJ344" s="291"/>
      <c r="AK344" s="291"/>
      <c r="AL344" s="291"/>
      <c r="AM344" s="291"/>
      <c r="AN344" s="291"/>
      <c r="AO344" s="291"/>
      <c r="AP344" s="291"/>
      <c r="AQ344" s="291"/>
      <c r="AR344" s="291"/>
      <c r="AS344" s="291"/>
      <c r="AT344" s="291"/>
      <c r="AU344" s="291"/>
      <c r="AV344" s="291"/>
      <c r="AW344" s="291"/>
      <c r="AX344" s="291"/>
    </row>
    <row r="345" spans="2:50" ht="23.1" customHeight="1" x14ac:dyDescent="0.3">
      <c r="B345" s="319"/>
      <c r="C345" s="320"/>
      <c r="D345" s="320"/>
      <c r="E345" s="320"/>
      <c r="F345" s="291"/>
      <c r="G345" s="291"/>
      <c r="H345" s="291"/>
      <c r="I345" s="291"/>
      <c r="J345" s="291"/>
      <c r="K345" s="291"/>
      <c r="L345" s="291"/>
      <c r="M345" s="291"/>
      <c r="N345" s="291"/>
      <c r="O345" s="291"/>
      <c r="P345" s="291"/>
      <c r="Q345" s="291"/>
      <c r="R345" s="291"/>
      <c r="S345" s="291"/>
      <c r="T345" s="291"/>
      <c r="U345" s="291"/>
      <c r="V345" s="291"/>
      <c r="W345" s="291"/>
      <c r="X345" s="291"/>
      <c r="Y345" s="291"/>
      <c r="Z345" s="291"/>
      <c r="AA345" s="291"/>
      <c r="AB345" s="291"/>
      <c r="AC345" s="291"/>
      <c r="AD345" s="291"/>
      <c r="AE345" s="291"/>
      <c r="AF345" s="291"/>
      <c r="AG345" s="291"/>
      <c r="AH345" s="291"/>
      <c r="AI345" s="291"/>
      <c r="AJ345" s="291"/>
      <c r="AK345" s="291"/>
      <c r="AL345" s="291"/>
      <c r="AM345" s="291"/>
      <c r="AN345" s="291"/>
      <c r="AO345" s="291"/>
      <c r="AP345" s="291"/>
      <c r="AQ345" s="291"/>
      <c r="AR345" s="291"/>
      <c r="AS345" s="291"/>
      <c r="AT345" s="291"/>
      <c r="AU345" s="291"/>
      <c r="AV345" s="291"/>
      <c r="AW345" s="291"/>
      <c r="AX345" s="291"/>
    </row>
    <row r="346" spans="2:50" ht="23.1" customHeight="1" x14ac:dyDescent="0.3">
      <c r="B346" s="319"/>
      <c r="C346" s="320"/>
      <c r="D346" s="320"/>
      <c r="E346" s="320"/>
      <c r="F346" s="291"/>
      <c r="G346" s="291"/>
      <c r="H346" s="291"/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S346" s="291"/>
      <c r="T346" s="291"/>
      <c r="U346" s="291"/>
      <c r="V346" s="291"/>
      <c r="W346" s="291"/>
      <c r="X346" s="291"/>
      <c r="Y346" s="291"/>
      <c r="Z346" s="291"/>
      <c r="AA346" s="291"/>
      <c r="AB346" s="291"/>
      <c r="AC346" s="291"/>
      <c r="AD346" s="291"/>
      <c r="AE346" s="291"/>
      <c r="AF346" s="291"/>
      <c r="AG346" s="291"/>
      <c r="AH346" s="291"/>
      <c r="AI346" s="291"/>
      <c r="AJ346" s="291"/>
      <c r="AK346" s="291"/>
      <c r="AL346" s="291"/>
      <c r="AM346" s="291"/>
      <c r="AN346" s="291"/>
      <c r="AO346" s="291"/>
      <c r="AP346" s="291"/>
      <c r="AQ346" s="291"/>
      <c r="AR346" s="291"/>
      <c r="AS346" s="291"/>
      <c r="AT346" s="291"/>
      <c r="AU346" s="291"/>
      <c r="AV346" s="291"/>
      <c r="AW346" s="291"/>
      <c r="AX346" s="291"/>
    </row>
    <row r="347" spans="2:50" ht="23.1" customHeight="1" x14ac:dyDescent="0.3">
      <c r="B347" s="319"/>
      <c r="C347" s="320"/>
      <c r="D347" s="320"/>
      <c r="E347" s="320"/>
      <c r="F347" s="291"/>
      <c r="G347" s="291"/>
      <c r="H347" s="291"/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S347" s="291"/>
      <c r="T347" s="291"/>
      <c r="U347" s="291"/>
      <c r="V347" s="291"/>
      <c r="W347" s="291"/>
      <c r="X347" s="291"/>
      <c r="Y347" s="291"/>
      <c r="Z347" s="291"/>
      <c r="AA347" s="291"/>
      <c r="AB347" s="291"/>
      <c r="AC347" s="291"/>
      <c r="AD347" s="291"/>
      <c r="AE347" s="291"/>
      <c r="AF347" s="291"/>
      <c r="AG347" s="291"/>
      <c r="AH347" s="291"/>
      <c r="AI347" s="291"/>
      <c r="AJ347" s="291"/>
      <c r="AK347" s="291"/>
      <c r="AL347" s="291"/>
      <c r="AM347" s="291"/>
      <c r="AN347" s="291"/>
      <c r="AO347" s="291"/>
      <c r="AP347" s="291"/>
      <c r="AQ347" s="291"/>
      <c r="AR347" s="291"/>
      <c r="AS347" s="291"/>
      <c r="AT347" s="291"/>
      <c r="AU347" s="291"/>
      <c r="AV347" s="291"/>
      <c r="AW347" s="291"/>
      <c r="AX347" s="291"/>
    </row>
    <row r="348" spans="2:50" ht="23.1" customHeight="1" x14ac:dyDescent="0.3">
      <c r="B348" s="319"/>
      <c r="C348" s="320"/>
      <c r="D348" s="320"/>
      <c r="E348" s="320"/>
      <c r="F348" s="291"/>
      <c r="G348" s="291"/>
      <c r="H348" s="291"/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S348" s="291"/>
      <c r="T348" s="291"/>
      <c r="U348" s="291"/>
      <c r="V348" s="291"/>
      <c r="W348" s="291"/>
      <c r="X348" s="291"/>
      <c r="Y348" s="291"/>
      <c r="Z348" s="291"/>
      <c r="AA348" s="291"/>
      <c r="AB348" s="291"/>
      <c r="AC348" s="291"/>
      <c r="AD348" s="291"/>
      <c r="AE348" s="291"/>
      <c r="AF348" s="291"/>
      <c r="AG348" s="291"/>
      <c r="AH348" s="291"/>
      <c r="AI348" s="291"/>
      <c r="AJ348" s="291"/>
      <c r="AK348" s="291"/>
      <c r="AL348" s="291"/>
      <c r="AM348" s="291"/>
      <c r="AN348" s="291"/>
      <c r="AO348" s="291"/>
      <c r="AP348" s="291"/>
      <c r="AQ348" s="291"/>
      <c r="AR348" s="291"/>
      <c r="AS348" s="291"/>
      <c r="AT348" s="291"/>
      <c r="AU348" s="291"/>
      <c r="AV348" s="291"/>
      <c r="AW348" s="291"/>
      <c r="AX348" s="291"/>
    </row>
    <row r="349" spans="2:50" ht="23.1" customHeight="1" x14ac:dyDescent="0.3">
      <c r="B349" s="319"/>
      <c r="C349" s="320"/>
      <c r="D349" s="320"/>
      <c r="E349" s="320"/>
      <c r="F349" s="291"/>
      <c r="G349" s="291"/>
      <c r="H349" s="291"/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S349" s="291"/>
      <c r="T349" s="291"/>
      <c r="U349" s="291"/>
      <c r="V349" s="291"/>
      <c r="W349" s="291"/>
      <c r="X349" s="291"/>
      <c r="Y349" s="291"/>
      <c r="Z349" s="291"/>
      <c r="AA349" s="291"/>
      <c r="AB349" s="291"/>
      <c r="AC349" s="291"/>
      <c r="AD349" s="291"/>
      <c r="AE349" s="291"/>
      <c r="AF349" s="291"/>
      <c r="AG349" s="291"/>
      <c r="AH349" s="291"/>
      <c r="AI349" s="291"/>
      <c r="AJ349" s="291"/>
      <c r="AK349" s="291"/>
      <c r="AL349" s="291"/>
      <c r="AM349" s="291"/>
      <c r="AN349" s="291"/>
      <c r="AO349" s="291"/>
      <c r="AP349" s="291"/>
      <c r="AQ349" s="291"/>
      <c r="AR349" s="291"/>
      <c r="AS349" s="291"/>
      <c r="AT349" s="291"/>
      <c r="AU349" s="291"/>
      <c r="AV349" s="291"/>
      <c r="AW349" s="291"/>
      <c r="AX349" s="291"/>
    </row>
    <row r="350" spans="2:50" ht="23.1" customHeight="1" x14ac:dyDescent="0.3">
      <c r="B350" s="319"/>
      <c r="C350" s="320"/>
      <c r="D350" s="320"/>
      <c r="E350" s="320"/>
      <c r="F350" s="291"/>
      <c r="G350" s="291"/>
      <c r="H350" s="291"/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S350" s="291"/>
      <c r="T350" s="291"/>
      <c r="U350" s="291"/>
      <c r="V350" s="291"/>
      <c r="W350" s="291"/>
      <c r="X350" s="291"/>
      <c r="Y350" s="291"/>
      <c r="Z350" s="291"/>
      <c r="AA350" s="291"/>
      <c r="AB350" s="291"/>
      <c r="AC350" s="291"/>
      <c r="AD350" s="291"/>
      <c r="AE350" s="291"/>
      <c r="AF350" s="291"/>
      <c r="AG350" s="291"/>
      <c r="AH350" s="291"/>
      <c r="AI350" s="291"/>
      <c r="AJ350" s="291"/>
      <c r="AK350" s="291"/>
      <c r="AL350" s="291"/>
      <c r="AM350" s="291"/>
      <c r="AN350" s="291"/>
      <c r="AO350" s="291"/>
      <c r="AP350" s="291"/>
      <c r="AQ350" s="291"/>
      <c r="AR350" s="291"/>
      <c r="AS350" s="291"/>
      <c r="AT350" s="291"/>
      <c r="AU350" s="291"/>
      <c r="AV350" s="291"/>
      <c r="AW350" s="291"/>
      <c r="AX350" s="291"/>
    </row>
    <row r="351" spans="2:50" ht="23.1" customHeight="1" x14ac:dyDescent="0.3">
      <c r="B351" s="319"/>
      <c r="C351" s="320"/>
      <c r="D351" s="320"/>
      <c r="E351" s="320"/>
      <c r="F351" s="291"/>
      <c r="G351" s="291"/>
      <c r="H351" s="291"/>
      <c r="I351" s="291"/>
      <c r="J351" s="291"/>
      <c r="K351" s="291"/>
      <c r="L351" s="291"/>
      <c r="M351" s="291"/>
      <c r="N351" s="291"/>
      <c r="O351" s="291"/>
      <c r="P351" s="291"/>
      <c r="Q351" s="291"/>
      <c r="R351" s="291"/>
      <c r="S351" s="291"/>
      <c r="T351" s="291"/>
      <c r="U351" s="291"/>
      <c r="V351" s="291"/>
      <c r="W351" s="291"/>
      <c r="X351" s="291"/>
      <c r="Y351" s="291"/>
      <c r="Z351" s="291"/>
      <c r="AA351" s="291"/>
      <c r="AB351" s="291"/>
      <c r="AC351" s="291"/>
      <c r="AD351" s="291"/>
      <c r="AE351" s="291"/>
      <c r="AF351" s="291"/>
      <c r="AG351" s="291"/>
      <c r="AH351" s="291"/>
      <c r="AI351" s="291"/>
      <c r="AJ351" s="291"/>
      <c r="AK351" s="291"/>
      <c r="AL351" s="291"/>
      <c r="AM351" s="291"/>
      <c r="AN351" s="291"/>
      <c r="AO351" s="291"/>
      <c r="AP351" s="291"/>
      <c r="AQ351" s="291"/>
      <c r="AR351" s="291"/>
      <c r="AS351" s="291"/>
      <c r="AT351" s="291"/>
      <c r="AU351" s="291"/>
      <c r="AV351" s="291"/>
      <c r="AW351" s="291"/>
      <c r="AX351" s="291"/>
    </row>
    <row r="352" spans="2:50" ht="23.1" customHeight="1" x14ac:dyDescent="0.3">
      <c r="B352" s="319"/>
      <c r="C352" s="320"/>
      <c r="D352" s="320"/>
      <c r="E352" s="320"/>
      <c r="F352" s="291"/>
      <c r="G352" s="291"/>
      <c r="H352" s="291"/>
      <c r="I352" s="291"/>
      <c r="J352" s="291"/>
      <c r="K352" s="291"/>
      <c r="L352" s="291"/>
      <c r="M352" s="291"/>
      <c r="N352" s="291"/>
      <c r="O352" s="291"/>
      <c r="P352" s="291"/>
      <c r="Q352" s="291"/>
      <c r="R352" s="291"/>
      <c r="S352" s="291"/>
      <c r="T352" s="291"/>
      <c r="U352" s="291"/>
      <c r="V352" s="291"/>
      <c r="W352" s="291"/>
      <c r="X352" s="291"/>
      <c r="Y352" s="291"/>
      <c r="Z352" s="291"/>
      <c r="AA352" s="291"/>
      <c r="AB352" s="291"/>
      <c r="AC352" s="291"/>
      <c r="AD352" s="291"/>
      <c r="AE352" s="291"/>
      <c r="AF352" s="291"/>
      <c r="AG352" s="291"/>
      <c r="AH352" s="291"/>
      <c r="AI352" s="291"/>
      <c r="AJ352" s="291"/>
      <c r="AK352" s="291"/>
      <c r="AL352" s="291"/>
      <c r="AM352" s="291"/>
      <c r="AN352" s="291"/>
      <c r="AO352" s="291"/>
      <c r="AP352" s="291"/>
      <c r="AQ352" s="291"/>
      <c r="AR352" s="291"/>
      <c r="AS352" s="291"/>
      <c r="AT352" s="291"/>
      <c r="AU352" s="291"/>
      <c r="AV352" s="291"/>
      <c r="AW352" s="291"/>
      <c r="AX352" s="291"/>
    </row>
    <row r="353" spans="2:50" ht="23.1" customHeight="1" x14ac:dyDescent="0.3">
      <c r="B353" s="319"/>
      <c r="C353" s="320"/>
      <c r="D353" s="320"/>
      <c r="E353" s="320"/>
      <c r="F353" s="291"/>
      <c r="G353" s="291"/>
      <c r="H353" s="291"/>
      <c r="I353" s="291"/>
      <c r="J353" s="291"/>
      <c r="K353" s="291"/>
      <c r="L353" s="291"/>
      <c r="M353" s="291"/>
      <c r="N353" s="291"/>
      <c r="O353" s="291"/>
      <c r="P353" s="291"/>
      <c r="Q353" s="291"/>
      <c r="R353" s="291"/>
      <c r="S353" s="291"/>
      <c r="T353" s="291"/>
      <c r="U353" s="291"/>
      <c r="V353" s="291"/>
      <c r="W353" s="291"/>
      <c r="X353" s="291"/>
      <c r="Y353" s="291"/>
      <c r="Z353" s="291"/>
      <c r="AA353" s="291"/>
      <c r="AB353" s="291"/>
      <c r="AC353" s="291"/>
      <c r="AD353" s="291"/>
      <c r="AE353" s="291"/>
      <c r="AF353" s="291"/>
      <c r="AG353" s="291"/>
      <c r="AH353" s="291"/>
      <c r="AI353" s="291"/>
      <c r="AJ353" s="291"/>
      <c r="AK353" s="291"/>
      <c r="AL353" s="291"/>
      <c r="AM353" s="291"/>
      <c r="AN353" s="291"/>
      <c r="AO353" s="291"/>
      <c r="AP353" s="291"/>
      <c r="AQ353" s="291"/>
      <c r="AR353" s="291"/>
      <c r="AS353" s="291"/>
      <c r="AT353" s="291"/>
      <c r="AU353" s="291"/>
      <c r="AV353" s="291"/>
      <c r="AW353" s="291"/>
      <c r="AX353" s="291"/>
    </row>
    <row r="354" spans="2:50" ht="23.1" customHeight="1" x14ac:dyDescent="0.3">
      <c r="B354" s="319"/>
      <c r="C354" s="320"/>
      <c r="D354" s="320"/>
      <c r="E354" s="320"/>
      <c r="F354" s="291"/>
      <c r="G354" s="291"/>
      <c r="H354" s="291"/>
      <c r="I354" s="291"/>
      <c r="J354" s="291"/>
      <c r="K354" s="291"/>
      <c r="L354" s="291"/>
      <c r="M354" s="291"/>
      <c r="N354" s="291"/>
      <c r="O354" s="291"/>
      <c r="P354" s="291"/>
      <c r="Q354" s="291"/>
      <c r="R354" s="291"/>
      <c r="S354" s="291"/>
      <c r="T354" s="291"/>
      <c r="U354" s="291"/>
      <c r="V354" s="291"/>
      <c r="W354" s="291"/>
      <c r="X354" s="291"/>
      <c r="Y354" s="291"/>
      <c r="Z354" s="291"/>
      <c r="AA354" s="291"/>
      <c r="AB354" s="291"/>
      <c r="AC354" s="291"/>
      <c r="AD354" s="291"/>
      <c r="AE354" s="291"/>
      <c r="AF354" s="291"/>
      <c r="AG354" s="291"/>
      <c r="AH354" s="291"/>
      <c r="AI354" s="291"/>
      <c r="AJ354" s="291"/>
      <c r="AK354" s="291"/>
      <c r="AL354" s="291"/>
      <c r="AM354" s="291"/>
      <c r="AN354" s="291"/>
      <c r="AO354" s="291"/>
      <c r="AP354" s="291"/>
      <c r="AQ354" s="291"/>
      <c r="AR354" s="291"/>
      <c r="AS354" s="291"/>
      <c r="AT354" s="291"/>
      <c r="AU354" s="291"/>
      <c r="AV354" s="291"/>
      <c r="AW354" s="291"/>
      <c r="AX354" s="291"/>
    </row>
    <row r="355" spans="2:50" ht="23.1" customHeight="1" x14ac:dyDescent="0.3">
      <c r="B355" s="319"/>
      <c r="C355" s="320"/>
      <c r="D355" s="320"/>
      <c r="E355" s="320"/>
      <c r="F355" s="291"/>
      <c r="G355" s="291"/>
      <c r="H355" s="291"/>
      <c r="I355" s="291"/>
      <c r="J355" s="291"/>
      <c r="K355" s="291"/>
      <c r="L355" s="291"/>
      <c r="M355" s="291"/>
      <c r="N355" s="291"/>
      <c r="O355" s="291"/>
      <c r="P355" s="291"/>
      <c r="Q355" s="291"/>
      <c r="R355" s="291"/>
      <c r="S355" s="291"/>
      <c r="T355" s="291"/>
      <c r="U355" s="291"/>
      <c r="V355" s="291"/>
      <c r="W355" s="291"/>
      <c r="X355" s="291"/>
      <c r="Y355" s="291"/>
      <c r="Z355" s="291"/>
      <c r="AA355" s="291"/>
      <c r="AB355" s="291"/>
      <c r="AC355" s="291"/>
      <c r="AD355" s="291"/>
      <c r="AE355" s="291"/>
      <c r="AF355" s="291"/>
      <c r="AG355" s="291"/>
      <c r="AH355" s="291"/>
      <c r="AI355" s="291"/>
      <c r="AJ355" s="291"/>
      <c r="AK355" s="291"/>
      <c r="AL355" s="291"/>
      <c r="AM355" s="291"/>
      <c r="AN355" s="291"/>
      <c r="AO355" s="291"/>
      <c r="AP355" s="291"/>
      <c r="AQ355" s="291"/>
      <c r="AR355" s="291"/>
      <c r="AS355" s="291"/>
      <c r="AT355" s="291"/>
      <c r="AU355" s="291"/>
      <c r="AV355" s="291"/>
      <c r="AW355" s="291"/>
      <c r="AX355" s="291"/>
    </row>
    <row r="356" spans="2:50" ht="23.1" customHeight="1" x14ac:dyDescent="0.3">
      <c r="B356" s="319"/>
      <c r="C356" s="320"/>
      <c r="D356" s="320"/>
      <c r="E356" s="320"/>
      <c r="F356" s="291"/>
      <c r="G356" s="291"/>
      <c r="H356" s="291"/>
      <c r="I356" s="291"/>
      <c r="J356" s="291"/>
      <c r="K356" s="291"/>
      <c r="L356" s="291"/>
      <c r="M356" s="291"/>
      <c r="N356" s="291"/>
      <c r="O356" s="291"/>
      <c r="P356" s="291"/>
      <c r="Q356" s="291"/>
      <c r="R356" s="291"/>
      <c r="S356" s="291"/>
      <c r="T356" s="291"/>
      <c r="U356" s="291"/>
      <c r="V356" s="291"/>
      <c r="W356" s="291"/>
      <c r="X356" s="291"/>
      <c r="Y356" s="291"/>
      <c r="Z356" s="291"/>
      <c r="AA356" s="291"/>
      <c r="AB356" s="291"/>
      <c r="AC356" s="291"/>
      <c r="AD356" s="291"/>
      <c r="AE356" s="291"/>
      <c r="AF356" s="291"/>
      <c r="AG356" s="291"/>
      <c r="AH356" s="291"/>
      <c r="AI356" s="291"/>
      <c r="AJ356" s="291"/>
      <c r="AK356" s="291"/>
      <c r="AL356" s="291"/>
      <c r="AM356" s="291"/>
      <c r="AN356" s="291"/>
      <c r="AO356" s="291"/>
      <c r="AP356" s="291"/>
      <c r="AQ356" s="291"/>
      <c r="AR356" s="291"/>
      <c r="AS356" s="291"/>
      <c r="AT356" s="291"/>
      <c r="AU356" s="291"/>
      <c r="AV356" s="291"/>
      <c r="AW356" s="291"/>
      <c r="AX356" s="291"/>
    </row>
    <row r="357" spans="2:50" ht="23.1" customHeight="1" x14ac:dyDescent="0.3">
      <c r="B357" s="319"/>
      <c r="C357" s="320"/>
      <c r="D357" s="320"/>
      <c r="E357" s="320"/>
      <c r="F357" s="291"/>
      <c r="G357" s="291"/>
      <c r="H357" s="291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S357" s="291"/>
      <c r="T357" s="291"/>
      <c r="U357" s="291"/>
      <c r="V357" s="291"/>
      <c r="W357" s="291"/>
      <c r="X357" s="291"/>
      <c r="Y357" s="291"/>
      <c r="Z357" s="291"/>
      <c r="AA357" s="291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91"/>
      <c r="AU357" s="291"/>
      <c r="AV357" s="291"/>
      <c r="AW357" s="291"/>
      <c r="AX357" s="291"/>
    </row>
    <row r="358" spans="2:50" ht="23.1" customHeight="1" x14ac:dyDescent="0.3">
      <c r="B358" s="319"/>
      <c r="C358" s="320"/>
      <c r="D358" s="320"/>
      <c r="E358" s="320"/>
      <c r="F358" s="291"/>
      <c r="G358" s="291"/>
      <c r="H358" s="291"/>
      <c r="I358" s="291"/>
      <c r="J358" s="291"/>
      <c r="K358" s="291"/>
      <c r="L358" s="291"/>
      <c r="M358" s="291"/>
      <c r="N358" s="291"/>
      <c r="O358" s="291"/>
      <c r="P358" s="291"/>
      <c r="Q358" s="291"/>
      <c r="R358" s="291"/>
      <c r="S358" s="291"/>
      <c r="T358" s="291"/>
      <c r="U358" s="291"/>
      <c r="V358" s="291"/>
      <c r="W358" s="291"/>
      <c r="X358" s="291"/>
      <c r="Y358" s="291"/>
      <c r="Z358" s="291"/>
      <c r="AA358" s="291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91"/>
      <c r="AU358" s="291"/>
      <c r="AV358" s="291"/>
      <c r="AW358" s="291"/>
      <c r="AX358" s="291"/>
    </row>
    <row r="359" spans="2:50" ht="23.1" customHeight="1" x14ac:dyDescent="0.3">
      <c r="B359" s="319"/>
      <c r="C359" s="320"/>
      <c r="D359" s="320"/>
      <c r="E359" s="320"/>
      <c r="F359" s="291"/>
      <c r="G359" s="291"/>
      <c r="H359" s="291"/>
      <c r="I359" s="291"/>
      <c r="J359" s="291"/>
      <c r="K359" s="291"/>
      <c r="L359" s="291"/>
      <c r="M359" s="291"/>
      <c r="N359" s="291"/>
      <c r="O359" s="291"/>
      <c r="P359" s="291"/>
      <c r="Q359" s="291"/>
      <c r="R359" s="291"/>
      <c r="S359" s="291"/>
      <c r="T359" s="291"/>
      <c r="U359" s="291"/>
      <c r="V359" s="291"/>
      <c r="W359" s="291"/>
      <c r="X359" s="291"/>
      <c r="Y359" s="291"/>
      <c r="Z359" s="291"/>
      <c r="AA359" s="291"/>
      <c r="AB359" s="291"/>
      <c r="AC359" s="291"/>
      <c r="AD359" s="291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  <c r="AT359" s="291"/>
      <c r="AU359" s="291"/>
      <c r="AV359" s="291"/>
      <c r="AW359" s="291"/>
      <c r="AX359" s="291"/>
    </row>
    <row r="360" spans="2:50" ht="23.1" customHeight="1" x14ac:dyDescent="0.3">
      <c r="B360" s="319"/>
      <c r="C360" s="320"/>
      <c r="D360" s="320"/>
      <c r="E360" s="320"/>
      <c r="F360" s="291"/>
      <c r="G360" s="291"/>
      <c r="H360" s="291"/>
      <c r="I360" s="291"/>
      <c r="J360" s="291"/>
      <c r="K360" s="291"/>
      <c r="L360" s="291"/>
      <c r="M360" s="291"/>
      <c r="N360" s="291"/>
      <c r="O360" s="291"/>
      <c r="P360" s="291"/>
      <c r="Q360" s="291"/>
      <c r="R360" s="291"/>
      <c r="S360" s="291"/>
      <c r="T360" s="291"/>
      <c r="U360" s="291"/>
      <c r="V360" s="291"/>
      <c r="W360" s="291"/>
      <c r="X360" s="291"/>
      <c r="Y360" s="291"/>
      <c r="Z360" s="291"/>
      <c r="AA360" s="291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91"/>
      <c r="AU360" s="291"/>
      <c r="AV360" s="291"/>
      <c r="AW360" s="291"/>
      <c r="AX360" s="291"/>
    </row>
    <row r="361" spans="2:50" ht="23.1" customHeight="1" x14ac:dyDescent="0.3">
      <c r="B361" s="319"/>
      <c r="C361" s="320"/>
      <c r="D361" s="320"/>
      <c r="E361" s="320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  <c r="Q361" s="291"/>
      <c r="R361" s="291"/>
      <c r="S361" s="291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91"/>
      <c r="AM361" s="291"/>
      <c r="AN361" s="291"/>
      <c r="AO361" s="291"/>
      <c r="AP361" s="291"/>
      <c r="AQ361" s="291"/>
      <c r="AR361" s="291"/>
      <c r="AS361" s="291"/>
      <c r="AT361" s="291"/>
      <c r="AU361" s="291"/>
      <c r="AV361" s="291"/>
      <c r="AW361" s="291"/>
      <c r="AX361" s="291"/>
    </row>
    <row r="362" spans="2:50" ht="23.1" customHeight="1" x14ac:dyDescent="0.3">
      <c r="B362" s="319"/>
      <c r="C362" s="320"/>
      <c r="D362" s="320"/>
      <c r="E362" s="320"/>
      <c r="F362" s="291"/>
      <c r="G362" s="291"/>
      <c r="H362" s="291"/>
      <c r="I362" s="291"/>
      <c r="J362" s="291"/>
      <c r="K362" s="291"/>
      <c r="L362" s="291"/>
      <c r="M362" s="291"/>
      <c r="N362" s="291"/>
      <c r="O362" s="291"/>
      <c r="P362" s="291"/>
      <c r="Q362" s="291"/>
      <c r="R362" s="291"/>
      <c r="S362" s="291"/>
      <c r="T362" s="291"/>
      <c r="U362" s="291"/>
      <c r="V362" s="291"/>
      <c r="W362" s="291"/>
      <c r="X362" s="291"/>
      <c r="Y362" s="291"/>
      <c r="Z362" s="291"/>
      <c r="AA362" s="291"/>
      <c r="AB362" s="291"/>
      <c r="AC362" s="291"/>
      <c r="AD362" s="291"/>
      <c r="AE362" s="291"/>
      <c r="AF362" s="291"/>
      <c r="AG362" s="291"/>
      <c r="AH362" s="291"/>
      <c r="AI362" s="291"/>
      <c r="AJ362" s="291"/>
      <c r="AK362" s="291"/>
      <c r="AL362" s="291"/>
      <c r="AM362" s="291"/>
      <c r="AN362" s="291"/>
      <c r="AO362" s="291"/>
      <c r="AP362" s="291"/>
      <c r="AQ362" s="291"/>
      <c r="AR362" s="291"/>
      <c r="AS362" s="291"/>
      <c r="AT362" s="291"/>
      <c r="AU362" s="291"/>
      <c r="AV362" s="291"/>
      <c r="AW362" s="291"/>
      <c r="AX362" s="291"/>
    </row>
    <row r="363" spans="2:50" ht="23.1" customHeight="1" x14ac:dyDescent="0.3">
      <c r="B363" s="319"/>
      <c r="C363" s="320"/>
      <c r="D363" s="320"/>
      <c r="E363" s="320"/>
      <c r="F363" s="291"/>
      <c r="G363" s="291"/>
      <c r="H363" s="291"/>
      <c r="I363" s="291"/>
      <c r="J363" s="291"/>
      <c r="K363" s="291"/>
      <c r="L363" s="291"/>
      <c r="M363" s="291"/>
      <c r="N363" s="291"/>
      <c r="O363" s="291"/>
      <c r="P363" s="291"/>
      <c r="Q363" s="291"/>
      <c r="R363" s="291"/>
      <c r="S363" s="291"/>
      <c r="T363" s="291"/>
      <c r="U363" s="291"/>
      <c r="V363" s="291"/>
      <c r="W363" s="291"/>
      <c r="X363" s="291"/>
      <c r="Y363" s="291"/>
      <c r="Z363" s="291"/>
      <c r="AA363" s="291"/>
      <c r="AB363" s="291"/>
      <c r="AC363" s="291"/>
      <c r="AD363" s="291"/>
      <c r="AE363" s="291"/>
      <c r="AF363" s="291"/>
      <c r="AG363" s="291"/>
      <c r="AH363" s="291"/>
      <c r="AI363" s="291"/>
      <c r="AJ363" s="291"/>
      <c r="AK363" s="291"/>
      <c r="AL363" s="291"/>
      <c r="AM363" s="291"/>
      <c r="AN363" s="291"/>
      <c r="AO363" s="291"/>
      <c r="AP363" s="291"/>
      <c r="AQ363" s="291"/>
      <c r="AR363" s="291"/>
      <c r="AS363" s="291"/>
      <c r="AT363" s="291"/>
      <c r="AU363" s="291"/>
      <c r="AV363" s="291"/>
      <c r="AW363" s="291"/>
      <c r="AX363" s="291"/>
    </row>
    <row r="364" spans="2:50" ht="23.1" customHeight="1" x14ac:dyDescent="0.3">
      <c r="B364" s="319"/>
      <c r="C364" s="320"/>
      <c r="D364" s="320"/>
      <c r="E364" s="320"/>
      <c r="F364" s="291"/>
      <c r="G364" s="291"/>
      <c r="H364" s="291"/>
      <c r="I364" s="291"/>
      <c r="J364" s="291"/>
      <c r="K364" s="291"/>
      <c r="L364" s="291"/>
      <c r="M364" s="291"/>
      <c r="N364" s="291"/>
      <c r="O364" s="291"/>
      <c r="P364" s="291"/>
      <c r="Q364" s="291"/>
      <c r="R364" s="291"/>
      <c r="S364" s="291"/>
      <c r="T364" s="291"/>
      <c r="U364" s="291"/>
      <c r="V364" s="291"/>
      <c r="W364" s="291"/>
      <c r="X364" s="291"/>
      <c r="Y364" s="291"/>
      <c r="Z364" s="291"/>
      <c r="AA364" s="291"/>
      <c r="AB364" s="291"/>
      <c r="AC364" s="291"/>
      <c r="AD364" s="291"/>
      <c r="AE364" s="291"/>
      <c r="AF364" s="291"/>
      <c r="AG364" s="291"/>
      <c r="AH364" s="291"/>
      <c r="AI364" s="291"/>
      <c r="AJ364" s="291"/>
      <c r="AK364" s="291"/>
      <c r="AL364" s="291"/>
      <c r="AM364" s="291"/>
      <c r="AN364" s="291"/>
      <c r="AO364" s="291"/>
      <c r="AP364" s="291"/>
      <c r="AQ364" s="291"/>
      <c r="AR364" s="291"/>
      <c r="AS364" s="291"/>
      <c r="AT364" s="291"/>
      <c r="AU364" s="291"/>
      <c r="AV364" s="291"/>
      <c r="AW364" s="291"/>
      <c r="AX364" s="291"/>
    </row>
    <row r="365" spans="2:50" ht="23.1" customHeight="1" x14ac:dyDescent="0.3">
      <c r="B365" s="319"/>
      <c r="C365" s="320"/>
      <c r="D365" s="320"/>
      <c r="E365" s="320"/>
      <c r="F365" s="291"/>
      <c r="G365" s="291"/>
      <c r="H365" s="291"/>
      <c r="I365" s="291"/>
      <c r="J365" s="291"/>
      <c r="K365" s="291"/>
      <c r="L365" s="291"/>
      <c r="M365" s="291"/>
      <c r="N365" s="291"/>
      <c r="O365" s="291"/>
      <c r="P365" s="291"/>
      <c r="Q365" s="291"/>
      <c r="R365" s="291"/>
      <c r="S365" s="291"/>
      <c r="T365" s="291"/>
      <c r="U365" s="291"/>
      <c r="V365" s="291"/>
      <c r="W365" s="291"/>
      <c r="X365" s="291"/>
      <c r="Y365" s="291"/>
      <c r="Z365" s="291"/>
      <c r="AA365" s="291"/>
      <c r="AB365" s="291"/>
      <c r="AC365" s="291"/>
      <c r="AD365" s="291"/>
      <c r="AE365" s="291"/>
      <c r="AF365" s="291"/>
      <c r="AG365" s="291"/>
      <c r="AH365" s="291"/>
      <c r="AI365" s="291"/>
      <c r="AJ365" s="291"/>
      <c r="AK365" s="291"/>
      <c r="AL365" s="291"/>
      <c r="AM365" s="291"/>
      <c r="AN365" s="291"/>
      <c r="AO365" s="291"/>
      <c r="AP365" s="291"/>
      <c r="AQ365" s="291"/>
      <c r="AR365" s="291"/>
      <c r="AS365" s="291"/>
      <c r="AT365" s="291"/>
      <c r="AU365" s="291"/>
      <c r="AV365" s="291"/>
      <c r="AW365" s="291"/>
      <c r="AX365" s="291"/>
    </row>
    <row r="366" spans="2:50" ht="23.1" customHeight="1" x14ac:dyDescent="0.3">
      <c r="B366" s="319"/>
      <c r="C366" s="320"/>
      <c r="D366" s="320"/>
      <c r="E366" s="320"/>
      <c r="F366" s="291"/>
      <c r="G366" s="291"/>
      <c r="H366" s="291"/>
      <c r="I366" s="291"/>
      <c r="J366" s="291"/>
      <c r="K366" s="291"/>
      <c r="L366" s="291"/>
      <c r="M366" s="291"/>
      <c r="N366" s="291"/>
      <c r="O366" s="291"/>
      <c r="P366" s="291"/>
      <c r="Q366" s="291"/>
      <c r="R366" s="291"/>
      <c r="S366" s="291"/>
      <c r="T366" s="291"/>
      <c r="U366" s="291"/>
      <c r="V366" s="291"/>
      <c r="W366" s="291"/>
      <c r="X366" s="291"/>
      <c r="Y366" s="291"/>
      <c r="Z366" s="291"/>
      <c r="AA366" s="291"/>
      <c r="AB366" s="291"/>
      <c r="AC366" s="291"/>
      <c r="AD366" s="291"/>
      <c r="AE366" s="291"/>
      <c r="AF366" s="291"/>
      <c r="AG366" s="291"/>
      <c r="AH366" s="291"/>
      <c r="AI366" s="291"/>
      <c r="AJ366" s="291"/>
      <c r="AK366" s="291"/>
      <c r="AL366" s="291"/>
      <c r="AM366" s="291"/>
      <c r="AN366" s="291"/>
      <c r="AO366" s="291"/>
      <c r="AP366" s="291"/>
      <c r="AQ366" s="291"/>
      <c r="AR366" s="291"/>
      <c r="AS366" s="291"/>
      <c r="AT366" s="291"/>
      <c r="AU366" s="291"/>
      <c r="AV366" s="291"/>
      <c r="AW366" s="291"/>
      <c r="AX366" s="291"/>
    </row>
    <row r="367" spans="2:50" ht="23.1" customHeight="1" x14ac:dyDescent="0.3">
      <c r="B367" s="319"/>
      <c r="C367" s="320"/>
      <c r="D367" s="320"/>
      <c r="E367" s="320"/>
      <c r="F367" s="291"/>
      <c r="G367" s="291"/>
      <c r="H367" s="291"/>
      <c r="I367" s="291"/>
      <c r="J367" s="291"/>
      <c r="K367" s="291"/>
      <c r="L367" s="291"/>
      <c r="M367" s="291"/>
      <c r="N367" s="291"/>
      <c r="O367" s="291"/>
      <c r="P367" s="291"/>
      <c r="Q367" s="291"/>
      <c r="R367" s="291"/>
      <c r="S367" s="291"/>
      <c r="T367" s="291"/>
      <c r="U367" s="291"/>
      <c r="V367" s="291"/>
      <c r="W367" s="291"/>
      <c r="X367" s="291"/>
      <c r="Y367" s="291"/>
      <c r="Z367" s="291"/>
      <c r="AA367" s="291"/>
      <c r="AB367" s="291"/>
      <c r="AC367" s="291"/>
      <c r="AD367" s="291"/>
      <c r="AE367" s="291"/>
      <c r="AF367" s="291"/>
      <c r="AG367" s="291"/>
      <c r="AH367" s="291"/>
      <c r="AI367" s="291"/>
      <c r="AJ367" s="291"/>
      <c r="AK367" s="291"/>
      <c r="AL367" s="291"/>
      <c r="AM367" s="291"/>
      <c r="AN367" s="291"/>
      <c r="AO367" s="291"/>
      <c r="AP367" s="291"/>
      <c r="AQ367" s="291"/>
      <c r="AR367" s="291"/>
      <c r="AS367" s="291"/>
      <c r="AT367" s="291"/>
      <c r="AU367" s="291"/>
      <c r="AV367" s="291"/>
      <c r="AW367" s="291"/>
      <c r="AX367" s="291"/>
    </row>
    <row r="368" spans="2:50" ht="23.1" customHeight="1" x14ac:dyDescent="0.3">
      <c r="B368" s="319"/>
      <c r="C368" s="320"/>
      <c r="D368" s="320"/>
      <c r="E368" s="320"/>
      <c r="F368" s="291"/>
      <c r="G368" s="291"/>
      <c r="H368" s="291"/>
      <c r="I368" s="291"/>
      <c r="J368" s="291"/>
      <c r="K368" s="291"/>
      <c r="L368" s="291"/>
      <c r="M368" s="291"/>
      <c r="N368" s="291"/>
      <c r="O368" s="291"/>
      <c r="P368" s="291"/>
      <c r="Q368" s="291"/>
      <c r="R368" s="291"/>
      <c r="S368" s="291"/>
      <c r="T368" s="291"/>
      <c r="U368" s="291"/>
      <c r="V368" s="291"/>
      <c r="W368" s="291"/>
      <c r="X368" s="291"/>
      <c r="Y368" s="291"/>
      <c r="Z368" s="291"/>
      <c r="AA368" s="291"/>
      <c r="AB368" s="291"/>
      <c r="AC368" s="291"/>
      <c r="AD368" s="291"/>
      <c r="AE368" s="291"/>
      <c r="AF368" s="291"/>
      <c r="AG368" s="291"/>
      <c r="AH368" s="291"/>
      <c r="AI368" s="291"/>
      <c r="AJ368" s="291"/>
      <c r="AK368" s="291"/>
      <c r="AL368" s="291"/>
      <c r="AM368" s="291"/>
      <c r="AN368" s="291"/>
      <c r="AO368" s="291"/>
      <c r="AP368" s="291"/>
      <c r="AQ368" s="291"/>
      <c r="AR368" s="291"/>
      <c r="AS368" s="291"/>
      <c r="AT368" s="291"/>
      <c r="AU368" s="291"/>
      <c r="AV368" s="291"/>
      <c r="AW368" s="291"/>
      <c r="AX368" s="291"/>
    </row>
    <row r="369" spans="2:50" ht="23.1" customHeight="1" x14ac:dyDescent="0.3">
      <c r="B369" s="319"/>
      <c r="C369" s="320"/>
      <c r="D369" s="320"/>
      <c r="E369" s="320"/>
      <c r="F369" s="291"/>
      <c r="G369" s="291"/>
      <c r="H369" s="291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S369" s="291"/>
      <c r="T369" s="291"/>
      <c r="U369" s="291"/>
      <c r="V369" s="291"/>
      <c r="W369" s="291"/>
      <c r="X369" s="291"/>
      <c r="Y369" s="291"/>
      <c r="Z369" s="291"/>
      <c r="AA369" s="291"/>
      <c r="AB369" s="291"/>
      <c r="AC369" s="291"/>
      <c r="AD369" s="291"/>
      <c r="AE369" s="291"/>
      <c r="AF369" s="291"/>
      <c r="AG369" s="291"/>
      <c r="AH369" s="291"/>
      <c r="AI369" s="291"/>
      <c r="AJ369" s="291"/>
      <c r="AK369" s="291"/>
      <c r="AL369" s="291"/>
      <c r="AM369" s="291"/>
      <c r="AN369" s="291"/>
      <c r="AO369" s="291"/>
      <c r="AP369" s="291"/>
      <c r="AQ369" s="291"/>
      <c r="AR369" s="291"/>
      <c r="AS369" s="291"/>
      <c r="AT369" s="291"/>
      <c r="AU369" s="291"/>
      <c r="AV369" s="291"/>
      <c r="AW369" s="291"/>
      <c r="AX369" s="291"/>
    </row>
    <row r="370" spans="2:50" ht="23.1" customHeight="1" x14ac:dyDescent="0.3">
      <c r="B370" s="319"/>
      <c r="C370" s="320"/>
      <c r="D370" s="320"/>
      <c r="E370" s="320"/>
      <c r="F370" s="291"/>
      <c r="G370" s="291"/>
      <c r="H370" s="291"/>
      <c r="I370" s="291"/>
      <c r="J370" s="291"/>
      <c r="K370" s="291"/>
      <c r="L370" s="291"/>
      <c r="M370" s="291"/>
      <c r="N370" s="291"/>
      <c r="O370" s="291"/>
      <c r="P370" s="291"/>
      <c r="Q370" s="291"/>
      <c r="R370" s="291"/>
      <c r="S370" s="291"/>
      <c r="T370" s="291"/>
      <c r="U370" s="291"/>
      <c r="V370" s="291"/>
      <c r="W370" s="291"/>
      <c r="X370" s="291"/>
      <c r="Y370" s="291"/>
      <c r="Z370" s="291"/>
      <c r="AA370" s="291"/>
      <c r="AB370" s="291"/>
      <c r="AC370" s="291"/>
      <c r="AD370" s="291"/>
      <c r="AE370" s="291"/>
      <c r="AF370" s="291"/>
      <c r="AG370" s="291"/>
      <c r="AH370" s="291"/>
      <c r="AI370" s="291"/>
      <c r="AJ370" s="291"/>
      <c r="AK370" s="291"/>
      <c r="AL370" s="291"/>
      <c r="AM370" s="291"/>
      <c r="AN370" s="291"/>
      <c r="AO370" s="291"/>
      <c r="AP370" s="291"/>
      <c r="AQ370" s="291"/>
      <c r="AR370" s="291"/>
      <c r="AS370" s="291"/>
      <c r="AT370" s="291"/>
      <c r="AU370" s="291"/>
      <c r="AV370" s="291"/>
      <c r="AW370" s="291"/>
      <c r="AX370" s="291"/>
    </row>
    <row r="371" spans="2:50" ht="23.1" customHeight="1" x14ac:dyDescent="0.3">
      <c r="B371" s="319"/>
      <c r="C371" s="320"/>
      <c r="D371" s="320"/>
      <c r="E371" s="320"/>
      <c r="F371" s="291"/>
      <c r="G371" s="291"/>
      <c r="H371" s="291"/>
      <c r="I371" s="291"/>
      <c r="J371" s="291"/>
      <c r="K371" s="291"/>
      <c r="L371" s="291"/>
      <c r="M371" s="291"/>
      <c r="N371" s="291"/>
      <c r="O371" s="291"/>
      <c r="P371" s="291"/>
      <c r="Q371" s="291"/>
      <c r="R371" s="291"/>
      <c r="S371" s="291"/>
      <c r="T371" s="291"/>
      <c r="U371" s="291"/>
      <c r="V371" s="291"/>
      <c r="W371" s="291"/>
      <c r="X371" s="291"/>
      <c r="Y371" s="291"/>
      <c r="Z371" s="291"/>
      <c r="AA371" s="291"/>
      <c r="AB371" s="291"/>
      <c r="AC371" s="291"/>
      <c r="AD371" s="291"/>
      <c r="AE371" s="291"/>
      <c r="AF371" s="291"/>
      <c r="AG371" s="291"/>
      <c r="AH371" s="291"/>
      <c r="AI371" s="291"/>
      <c r="AJ371" s="291"/>
      <c r="AK371" s="291"/>
      <c r="AL371" s="291"/>
      <c r="AM371" s="291"/>
      <c r="AN371" s="291"/>
      <c r="AO371" s="291"/>
      <c r="AP371" s="291"/>
      <c r="AQ371" s="291"/>
      <c r="AR371" s="291"/>
      <c r="AS371" s="291"/>
      <c r="AT371" s="291"/>
      <c r="AU371" s="291"/>
      <c r="AV371" s="291"/>
      <c r="AW371" s="291"/>
      <c r="AX371" s="291"/>
    </row>
    <row r="372" spans="2:50" ht="23.1" customHeight="1" x14ac:dyDescent="0.3">
      <c r="B372" s="319"/>
      <c r="C372" s="320"/>
      <c r="D372" s="320"/>
      <c r="E372" s="320"/>
      <c r="F372" s="291"/>
      <c r="G372" s="291"/>
      <c r="H372" s="291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S372" s="291"/>
      <c r="T372" s="291"/>
      <c r="U372" s="291"/>
      <c r="V372" s="291"/>
      <c r="W372" s="291"/>
      <c r="X372" s="291"/>
      <c r="Y372" s="291"/>
      <c r="Z372" s="291"/>
      <c r="AA372" s="291"/>
      <c r="AB372" s="291"/>
      <c r="AC372" s="291"/>
      <c r="AD372" s="291"/>
      <c r="AE372" s="291"/>
      <c r="AF372" s="291"/>
      <c r="AG372" s="291"/>
      <c r="AH372" s="291"/>
      <c r="AI372" s="291"/>
      <c r="AJ372" s="291"/>
      <c r="AK372" s="291"/>
      <c r="AL372" s="291"/>
      <c r="AM372" s="291"/>
      <c r="AN372" s="291"/>
      <c r="AO372" s="291"/>
      <c r="AP372" s="291"/>
      <c r="AQ372" s="291"/>
      <c r="AR372" s="291"/>
      <c r="AS372" s="291"/>
      <c r="AT372" s="291"/>
      <c r="AU372" s="291"/>
      <c r="AV372" s="291"/>
      <c r="AW372" s="291"/>
      <c r="AX372" s="291"/>
    </row>
    <row r="373" spans="2:50" ht="23.1" customHeight="1" x14ac:dyDescent="0.3">
      <c r="B373" s="319"/>
      <c r="C373" s="320"/>
      <c r="D373" s="320"/>
      <c r="E373" s="320"/>
      <c r="F373" s="291"/>
      <c r="G373" s="291"/>
      <c r="H373" s="291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S373" s="291"/>
      <c r="T373" s="291"/>
      <c r="U373" s="291"/>
      <c r="V373" s="291"/>
      <c r="W373" s="291"/>
      <c r="X373" s="291"/>
      <c r="Y373" s="291"/>
      <c r="Z373" s="291"/>
      <c r="AA373" s="291"/>
      <c r="AB373" s="291"/>
      <c r="AC373" s="291"/>
      <c r="AD373" s="291"/>
      <c r="AE373" s="291"/>
      <c r="AF373" s="291"/>
      <c r="AG373" s="291"/>
      <c r="AH373" s="291"/>
      <c r="AI373" s="291"/>
      <c r="AJ373" s="291"/>
      <c r="AK373" s="291"/>
      <c r="AL373" s="291"/>
      <c r="AM373" s="291"/>
      <c r="AN373" s="291"/>
      <c r="AO373" s="291"/>
      <c r="AP373" s="291"/>
      <c r="AQ373" s="291"/>
      <c r="AR373" s="291"/>
      <c r="AS373" s="291"/>
      <c r="AT373" s="291"/>
      <c r="AU373" s="291"/>
      <c r="AV373" s="291"/>
      <c r="AW373" s="291"/>
      <c r="AX373" s="291"/>
    </row>
    <row r="374" spans="2:50" ht="23.1" customHeight="1" x14ac:dyDescent="0.3">
      <c r="B374" s="319"/>
      <c r="C374" s="320"/>
      <c r="D374" s="320"/>
      <c r="E374" s="320"/>
      <c r="F374" s="291"/>
      <c r="G374" s="291"/>
      <c r="H374" s="291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S374" s="291"/>
      <c r="T374" s="291"/>
      <c r="U374" s="291"/>
      <c r="V374" s="291"/>
      <c r="W374" s="291"/>
      <c r="X374" s="291"/>
      <c r="Y374" s="291"/>
      <c r="Z374" s="291"/>
      <c r="AA374" s="291"/>
      <c r="AB374" s="291"/>
      <c r="AC374" s="291"/>
      <c r="AD374" s="291"/>
      <c r="AE374" s="291"/>
      <c r="AF374" s="291"/>
      <c r="AG374" s="291"/>
      <c r="AH374" s="291"/>
      <c r="AI374" s="291"/>
      <c r="AJ374" s="291"/>
      <c r="AK374" s="291"/>
      <c r="AL374" s="291"/>
      <c r="AM374" s="291"/>
      <c r="AN374" s="291"/>
      <c r="AO374" s="291"/>
      <c r="AP374" s="291"/>
      <c r="AQ374" s="291"/>
      <c r="AR374" s="291"/>
      <c r="AS374" s="291"/>
      <c r="AT374" s="291"/>
      <c r="AU374" s="291"/>
      <c r="AV374" s="291"/>
      <c r="AW374" s="291"/>
      <c r="AX374" s="291"/>
    </row>
    <row r="375" spans="2:50" ht="23.1" customHeight="1" x14ac:dyDescent="0.3">
      <c r="B375" s="319"/>
      <c r="C375" s="320"/>
      <c r="D375" s="320"/>
      <c r="E375" s="320"/>
      <c r="F375" s="291"/>
      <c r="G375" s="291"/>
      <c r="H375" s="291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S375" s="291"/>
      <c r="T375" s="291"/>
      <c r="U375" s="291"/>
      <c r="V375" s="291"/>
      <c r="W375" s="291"/>
      <c r="X375" s="291"/>
      <c r="Y375" s="291"/>
      <c r="Z375" s="291"/>
      <c r="AA375" s="291"/>
      <c r="AB375" s="291"/>
      <c r="AC375" s="291"/>
      <c r="AD375" s="291"/>
      <c r="AE375" s="291"/>
      <c r="AF375" s="291"/>
      <c r="AG375" s="291"/>
      <c r="AH375" s="291"/>
      <c r="AI375" s="291"/>
      <c r="AJ375" s="291"/>
      <c r="AK375" s="291"/>
      <c r="AL375" s="291"/>
      <c r="AM375" s="291"/>
      <c r="AN375" s="291"/>
      <c r="AO375" s="291"/>
      <c r="AP375" s="291"/>
      <c r="AQ375" s="291"/>
      <c r="AR375" s="291"/>
      <c r="AS375" s="291"/>
      <c r="AT375" s="291"/>
      <c r="AU375" s="291"/>
      <c r="AV375" s="291"/>
      <c r="AW375" s="291"/>
      <c r="AX375" s="291"/>
    </row>
    <row r="376" spans="2:50" ht="23.1" customHeight="1" x14ac:dyDescent="0.3">
      <c r="B376" s="319"/>
      <c r="C376" s="320"/>
      <c r="D376" s="320"/>
      <c r="E376" s="320"/>
      <c r="F376" s="291"/>
      <c r="G376" s="291"/>
      <c r="H376" s="291"/>
      <c r="I376" s="291"/>
      <c r="J376" s="291"/>
      <c r="K376" s="291"/>
      <c r="L376" s="291"/>
      <c r="M376" s="291"/>
      <c r="N376" s="291"/>
      <c r="O376" s="291"/>
      <c r="P376" s="291"/>
      <c r="Q376" s="291"/>
      <c r="R376" s="291"/>
      <c r="S376" s="291"/>
      <c r="T376" s="291"/>
      <c r="U376" s="291"/>
      <c r="V376" s="291"/>
      <c r="W376" s="291"/>
      <c r="X376" s="291"/>
      <c r="Y376" s="291"/>
      <c r="Z376" s="291"/>
      <c r="AA376" s="291"/>
      <c r="AB376" s="291"/>
      <c r="AC376" s="291"/>
      <c r="AD376" s="291"/>
      <c r="AE376" s="291"/>
      <c r="AF376" s="291"/>
      <c r="AG376" s="291"/>
      <c r="AH376" s="291"/>
      <c r="AI376" s="291"/>
      <c r="AJ376" s="291"/>
      <c r="AK376" s="291"/>
      <c r="AL376" s="291"/>
      <c r="AM376" s="291"/>
      <c r="AN376" s="291"/>
      <c r="AO376" s="291"/>
      <c r="AP376" s="291"/>
      <c r="AQ376" s="291"/>
      <c r="AR376" s="291"/>
      <c r="AS376" s="291"/>
      <c r="AT376" s="291"/>
      <c r="AU376" s="291"/>
      <c r="AV376" s="291"/>
      <c r="AW376" s="291"/>
      <c r="AX376" s="291"/>
    </row>
    <row r="377" spans="2:50" ht="23.1" customHeight="1" x14ac:dyDescent="0.3">
      <c r="B377" s="319"/>
      <c r="C377" s="320"/>
      <c r="D377" s="320"/>
      <c r="E377" s="320"/>
      <c r="F377" s="291"/>
      <c r="G377" s="291"/>
      <c r="H377" s="291"/>
      <c r="I377" s="291"/>
      <c r="J377" s="291"/>
      <c r="K377" s="291"/>
      <c r="L377" s="291"/>
      <c r="M377" s="291"/>
      <c r="N377" s="291"/>
      <c r="O377" s="291"/>
      <c r="P377" s="291"/>
      <c r="Q377" s="291"/>
      <c r="R377" s="291"/>
      <c r="S377" s="291"/>
      <c r="T377" s="291"/>
      <c r="U377" s="291"/>
      <c r="V377" s="291"/>
      <c r="W377" s="291"/>
      <c r="X377" s="291"/>
      <c r="Y377" s="291"/>
      <c r="Z377" s="291"/>
      <c r="AA377" s="291"/>
      <c r="AB377" s="291"/>
      <c r="AC377" s="291"/>
      <c r="AD377" s="291"/>
      <c r="AE377" s="291"/>
      <c r="AF377" s="291"/>
      <c r="AG377" s="291"/>
      <c r="AH377" s="291"/>
      <c r="AI377" s="291"/>
      <c r="AJ377" s="291"/>
      <c r="AK377" s="291"/>
      <c r="AL377" s="291"/>
      <c r="AM377" s="291"/>
      <c r="AN377" s="291"/>
      <c r="AO377" s="291"/>
      <c r="AP377" s="291"/>
      <c r="AQ377" s="291"/>
      <c r="AR377" s="291"/>
      <c r="AS377" s="291"/>
      <c r="AT377" s="291"/>
      <c r="AU377" s="291"/>
      <c r="AV377" s="291"/>
      <c r="AW377" s="291"/>
      <c r="AX377" s="291"/>
    </row>
    <row r="378" spans="2:50" ht="23.1" customHeight="1" x14ac:dyDescent="0.3">
      <c r="B378" s="319"/>
      <c r="C378" s="320"/>
      <c r="D378" s="320"/>
      <c r="E378" s="320"/>
      <c r="F378" s="291"/>
      <c r="G378" s="291"/>
      <c r="H378" s="291"/>
      <c r="I378" s="291"/>
      <c r="J378" s="291"/>
      <c r="K378" s="291"/>
      <c r="L378" s="291"/>
      <c r="M378" s="291"/>
      <c r="N378" s="291"/>
      <c r="O378" s="291"/>
      <c r="P378" s="291"/>
      <c r="Q378" s="291"/>
      <c r="R378" s="291"/>
      <c r="S378" s="291"/>
      <c r="T378" s="291"/>
      <c r="U378" s="291"/>
      <c r="V378" s="291"/>
      <c r="W378" s="291"/>
      <c r="X378" s="291"/>
      <c r="Y378" s="291"/>
      <c r="Z378" s="291"/>
      <c r="AA378" s="291"/>
      <c r="AB378" s="291"/>
      <c r="AC378" s="291"/>
      <c r="AD378" s="291"/>
      <c r="AE378" s="291"/>
      <c r="AF378" s="291"/>
      <c r="AG378" s="291"/>
      <c r="AH378" s="291"/>
      <c r="AI378" s="291"/>
      <c r="AJ378" s="291"/>
      <c r="AK378" s="291"/>
      <c r="AL378" s="291"/>
      <c r="AM378" s="291"/>
      <c r="AN378" s="291"/>
      <c r="AO378" s="291"/>
      <c r="AP378" s="291"/>
      <c r="AQ378" s="291"/>
      <c r="AR378" s="291"/>
      <c r="AS378" s="291"/>
      <c r="AT378" s="291"/>
      <c r="AU378" s="291"/>
      <c r="AV378" s="291"/>
      <c r="AW378" s="291"/>
      <c r="AX378" s="291"/>
    </row>
    <row r="379" spans="2:50" ht="23.1" customHeight="1" x14ac:dyDescent="0.3">
      <c r="B379" s="319"/>
      <c r="C379" s="320"/>
      <c r="D379" s="320"/>
      <c r="E379" s="320"/>
      <c r="F379" s="291"/>
      <c r="G379" s="291"/>
      <c r="H379" s="291"/>
      <c r="I379" s="291"/>
      <c r="J379" s="291"/>
      <c r="K379" s="291"/>
      <c r="L379" s="291"/>
      <c r="M379" s="291"/>
      <c r="N379" s="291"/>
      <c r="O379" s="291"/>
      <c r="P379" s="291"/>
      <c r="Q379" s="291"/>
      <c r="R379" s="291"/>
      <c r="S379" s="291"/>
      <c r="T379" s="291"/>
      <c r="U379" s="291"/>
      <c r="V379" s="291"/>
      <c r="W379" s="291"/>
      <c r="X379" s="291"/>
      <c r="Y379" s="291"/>
      <c r="Z379" s="291"/>
      <c r="AA379" s="291"/>
      <c r="AB379" s="291"/>
      <c r="AC379" s="291"/>
      <c r="AD379" s="291"/>
      <c r="AE379" s="291"/>
      <c r="AF379" s="291"/>
      <c r="AG379" s="291"/>
      <c r="AH379" s="291"/>
      <c r="AI379" s="291"/>
      <c r="AJ379" s="291"/>
      <c r="AK379" s="291"/>
      <c r="AL379" s="291"/>
      <c r="AM379" s="291"/>
      <c r="AN379" s="291"/>
      <c r="AO379" s="291"/>
      <c r="AP379" s="291"/>
      <c r="AQ379" s="291"/>
      <c r="AR379" s="291"/>
      <c r="AS379" s="291"/>
      <c r="AT379" s="291"/>
      <c r="AU379" s="291"/>
      <c r="AV379" s="291"/>
      <c r="AW379" s="291"/>
      <c r="AX379" s="291"/>
    </row>
    <row r="380" spans="2:50" ht="23.1" customHeight="1" x14ac:dyDescent="0.3">
      <c r="B380" s="319"/>
      <c r="C380" s="320"/>
      <c r="D380" s="320"/>
      <c r="E380" s="320"/>
      <c r="F380" s="291"/>
      <c r="G380" s="291"/>
      <c r="H380" s="291"/>
      <c r="I380" s="291"/>
      <c r="J380" s="291"/>
      <c r="K380" s="291"/>
      <c r="L380" s="291"/>
      <c r="M380" s="291"/>
      <c r="N380" s="291"/>
      <c r="O380" s="291"/>
      <c r="P380" s="291"/>
      <c r="Q380" s="291"/>
      <c r="R380" s="291"/>
      <c r="S380" s="291"/>
      <c r="T380" s="291"/>
      <c r="U380" s="291"/>
      <c r="V380" s="291"/>
      <c r="W380" s="291"/>
      <c r="X380" s="291"/>
      <c r="Y380" s="291"/>
      <c r="Z380" s="291"/>
      <c r="AA380" s="291"/>
      <c r="AB380" s="291"/>
      <c r="AC380" s="291"/>
      <c r="AD380" s="291"/>
      <c r="AE380" s="291"/>
      <c r="AF380" s="291"/>
      <c r="AG380" s="291"/>
      <c r="AH380" s="291"/>
      <c r="AI380" s="291"/>
      <c r="AJ380" s="291"/>
      <c r="AK380" s="291"/>
      <c r="AL380" s="291"/>
      <c r="AM380" s="291"/>
      <c r="AN380" s="291"/>
      <c r="AO380" s="291"/>
      <c r="AP380" s="291"/>
      <c r="AQ380" s="291"/>
      <c r="AR380" s="291"/>
      <c r="AS380" s="291"/>
      <c r="AT380" s="291"/>
      <c r="AU380" s="291"/>
      <c r="AV380" s="291"/>
      <c r="AW380" s="291"/>
      <c r="AX380" s="291"/>
    </row>
    <row r="381" spans="2:50" ht="23.1" customHeight="1" x14ac:dyDescent="0.3">
      <c r="B381" s="319"/>
      <c r="C381" s="320"/>
      <c r="D381" s="320"/>
      <c r="E381" s="320"/>
      <c r="F381" s="291"/>
      <c r="G381" s="291"/>
      <c r="H381" s="291"/>
      <c r="I381" s="291"/>
      <c r="J381" s="291"/>
      <c r="K381" s="291"/>
      <c r="L381" s="291"/>
      <c r="M381" s="291"/>
      <c r="N381" s="291"/>
      <c r="O381" s="291"/>
      <c r="P381" s="291"/>
      <c r="Q381" s="291"/>
      <c r="R381" s="291"/>
      <c r="S381" s="291"/>
      <c r="T381" s="291"/>
      <c r="U381" s="291"/>
      <c r="V381" s="291"/>
      <c r="W381" s="291"/>
      <c r="X381" s="291"/>
      <c r="Y381" s="291"/>
      <c r="Z381" s="291"/>
      <c r="AA381" s="291"/>
      <c r="AB381" s="291"/>
      <c r="AC381" s="291"/>
      <c r="AD381" s="291"/>
      <c r="AE381" s="291"/>
      <c r="AF381" s="291"/>
      <c r="AG381" s="291"/>
      <c r="AH381" s="291"/>
      <c r="AI381" s="291"/>
      <c r="AJ381" s="291"/>
      <c r="AK381" s="291"/>
      <c r="AL381" s="291"/>
      <c r="AM381" s="291"/>
      <c r="AN381" s="291"/>
      <c r="AO381" s="291"/>
      <c r="AP381" s="291"/>
      <c r="AQ381" s="291"/>
      <c r="AR381" s="291"/>
      <c r="AS381" s="291"/>
      <c r="AT381" s="291"/>
      <c r="AU381" s="291"/>
      <c r="AV381" s="291"/>
      <c r="AW381" s="291"/>
      <c r="AX381" s="291"/>
    </row>
    <row r="382" spans="2:50" ht="23.1" customHeight="1" x14ac:dyDescent="0.3">
      <c r="B382" s="319"/>
      <c r="C382" s="320"/>
      <c r="D382" s="320"/>
      <c r="E382" s="320"/>
      <c r="F382" s="29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S382" s="291"/>
      <c r="T382" s="291"/>
      <c r="U382" s="291"/>
      <c r="V382" s="291"/>
      <c r="W382" s="291"/>
      <c r="X382" s="291"/>
      <c r="Y382" s="291"/>
      <c r="Z382" s="291"/>
      <c r="AA382" s="291"/>
      <c r="AB382" s="291"/>
      <c r="AC382" s="291"/>
      <c r="AD382" s="291"/>
      <c r="AE382" s="291"/>
      <c r="AF382" s="291"/>
      <c r="AG382" s="291"/>
      <c r="AH382" s="291"/>
      <c r="AI382" s="291"/>
      <c r="AJ382" s="291"/>
      <c r="AK382" s="291"/>
      <c r="AL382" s="291"/>
      <c r="AM382" s="291"/>
      <c r="AN382" s="291"/>
      <c r="AO382" s="291"/>
      <c r="AP382" s="291"/>
      <c r="AQ382" s="291"/>
      <c r="AR382" s="291"/>
      <c r="AS382" s="291"/>
      <c r="AT382" s="291"/>
      <c r="AU382" s="291"/>
      <c r="AV382" s="291"/>
      <c r="AW382" s="291"/>
      <c r="AX382" s="291"/>
    </row>
    <row r="383" spans="2:50" ht="23.1" customHeight="1" x14ac:dyDescent="0.3">
      <c r="B383" s="319"/>
      <c r="C383" s="320"/>
      <c r="D383" s="320"/>
      <c r="E383" s="320"/>
      <c r="F383" s="291"/>
      <c r="G383" s="291"/>
      <c r="H383" s="291"/>
      <c r="I383" s="291"/>
      <c r="J383" s="291"/>
      <c r="K383" s="291"/>
      <c r="L383" s="291"/>
      <c r="M383" s="291"/>
      <c r="N383" s="291"/>
      <c r="O383" s="291"/>
      <c r="P383" s="291"/>
      <c r="Q383" s="291"/>
      <c r="R383" s="291"/>
      <c r="S383" s="291"/>
      <c r="T383" s="291"/>
      <c r="U383" s="291"/>
      <c r="V383" s="291"/>
      <c r="W383" s="291"/>
      <c r="X383" s="291"/>
      <c r="Y383" s="291"/>
      <c r="Z383" s="291"/>
      <c r="AA383" s="291"/>
      <c r="AB383" s="291"/>
      <c r="AC383" s="291"/>
      <c r="AD383" s="291"/>
      <c r="AE383" s="291"/>
      <c r="AF383" s="291"/>
      <c r="AG383" s="291"/>
      <c r="AH383" s="291"/>
      <c r="AI383" s="291"/>
      <c r="AJ383" s="291"/>
      <c r="AK383" s="291"/>
      <c r="AL383" s="291"/>
      <c r="AM383" s="291"/>
      <c r="AN383" s="291"/>
      <c r="AO383" s="291"/>
      <c r="AP383" s="291"/>
      <c r="AQ383" s="291"/>
      <c r="AR383" s="291"/>
      <c r="AS383" s="291"/>
      <c r="AT383" s="291"/>
      <c r="AU383" s="291"/>
      <c r="AV383" s="291"/>
      <c r="AW383" s="291"/>
      <c r="AX383" s="291"/>
    </row>
    <row r="384" spans="2:50" ht="23.1" customHeight="1" x14ac:dyDescent="0.3">
      <c r="B384" s="319"/>
      <c r="C384" s="320"/>
      <c r="D384" s="320"/>
      <c r="E384" s="320"/>
      <c r="F384" s="291"/>
      <c r="G384" s="291"/>
      <c r="H384" s="291"/>
      <c r="I384" s="291"/>
      <c r="J384" s="291"/>
      <c r="K384" s="291"/>
      <c r="L384" s="291"/>
      <c r="M384" s="291"/>
      <c r="N384" s="291"/>
      <c r="O384" s="291"/>
      <c r="P384" s="291"/>
      <c r="Q384" s="291"/>
      <c r="R384" s="291"/>
      <c r="S384" s="291"/>
      <c r="T384" s="291"/>
      <c r="U384" s="291"/>
      <c r="V384" s="291"/>
      <c r="W384" s="291"/>
      <c r="X384" s="291"/>
      <c r="Y384" s="291"/>
      <c r="Z384" s="291"/>
      <c r="AA384" s="291"/>
      <c r="AB384" s="291"/>
      <c r="AC384" s="291"/>
      <c r="AD384" s="291"/>
      <c r="AE384" s="291"/>
      <c r="AF384" s="291"/>
      <c r="AG384" s="291"/>
      <c r="AH384" s="291"/>
      <c r="AI384" s="291"/>
      <c r="AJ384" s="291"/>
      <c r="AK384" s="291"/>
      <c r="AL384" s="291"/>
      <c r="AM384" s="291"/>
      <c r="AN384" s="291"/>
      <c r="AO384" s="291"/>
      <c r="AP384" s="291"/>
      <c r="AQ384" s="291"/>
      <c r="AR384" s="291"/>
      <c r="AS384" s="291"/>
      <c r="AT384" s="291"/>
      <c r="AU384" s="291"/>
      <c r="AV384" s="291"/>
      <c r="AW384" s="291"/>
      <c r="AX384" s="291"/>
    </row>
    <row r="385" spans="2:50" ht="23.1" customHeight="1" x14ac:dyDescent="0.3">
      <c r="B385" s="319"/>
      <c r="C385" s="320"/>
      <c r="D385" s="320"/>
      <c r="E385" s="320"/>
      <c r="F385" s="291"/>
      <c r="G385" s="291"/>
      <c r="H385" s="291"/>
      <c r="I385" s="291"/>
      <c r="J385" s="291"/>
      <c r="K385" s="291"/>
      <c r="L385" s="291"/>
      <c r="M385" s="291"/>
      <c r="N385" s="291"/>
      <c r="O385" s="291"/>
      <c r="P385" s="291"/>
      <c r="Q385" s="291"/>
      <c r="R385" s="291"/>
      <c r="S385" s="291"/>
      <c r="T385" s="291"/>
      <c r="U385" s="291"/>
      <c r="V385" s="291"/>
      <c r="W385" s="291"/>
      <c r="X385" s="291"/>
      <c r="Y385" s="291"/>
      <c r="Z385" s="291"/>
      <c r="AA385" s="291"/>
      <c r="AB385" s="291"/>
      <c r="AC385" s="291"/>
      <c r="AD385" s="291"/>
      <c r="AE385" s="291"/>
      <c r="AF385" s="291"/>
      <c r="AG385" s="291"/>
      <c r="AH385" s="291"/>
      <c r="AI385" s="291"/>
      <c r="AJ385" s="291"/>
      <c r="AK385" s="291"/>
      <c r="AL385" s="291"/>
      <c r="AM385" s="291"/>
      <c r="AN385" s="291"/>
      <c r="AO385" s="291"/>
      <c r="AP385" s="291"/>
      <c r="AQ385" s="291"/>
      <c r="AR385" s="291"/>
      <c r="AS385" s="291"/>
      <c r="AT385" s="291"/>
      <c r="AU385" s="291"/>
      <c r="AV385" s="291"/>
      <c r="AW385" s="291"/>
      <c r="AX385" s="291"/>
    </row>
    <row r="386" spans="2:50" ht="23.1" customHeight="1" x14ac:dyDescent="0.3">
      <c r="B386" s="319"/>
      <c r="C386" s="320"/>
      <c r="D386" s="320"/>
      <c r="E386" s="320"/>
      <c r="F386" s="291"/>
      <c r="G386" s="291"/>
      <c r="H386" s="291"/>
      <c r="I386" s="291"/>
      <c r="J386" s="291"/>
      <c r="K386" s="291"/>
      <c r="L386" s="291"/>
      <c r="M386" s="291"/>
      <c r="N386" s="291"/>
      <c r="O386" s="291"/>
      <c r="P386" s="291"/>
      <c r="Q386" s="291"/>
      <c r="R386" s="291"/>
      <c r="S386" s="291"/>
      <c r="T386" s="291"/>
      <c r="U386" s="291"/>
      <c r="V386" s="291"/>
      <c r="W386" s="291"/>
      <c r="X386" s="291"/>
      <c r="Y386" s="291"/>
      <c r="Z386" s="291"/>
      <c r="AA386" s="291"/>
      <c r="AB386" s="291"/>
      <c r="AC386" s="291"/>
      <c r="AD386" s="291"/>
      <c r="AE386" s="291"/>
      <c r="AF386" s="291"/>
      <c r="AG386" s="291"/>
      <c r="AH386" s="291"/>
      <c r="AI386" s="291"/>
      <c r="AJ386" s="291"/>
      <c r="AK386" s="291"/>
      <c r="AL386" s="291"/>
      <c r="AM386" s="291"/>
      <c r="AN386" s="291"/>
      <c r="AO386" s="291"/>
      <c r="AP386" s="291"/>
      <c r="AQ386" s="291"/>
      <c r="AR386" s="291"/>
      <c r="AS386" s="291"/>
      <c r="AT386" s="291"/>
      <c r="AU386" s="291"/>
      <c r="AV386" s="291"/>
      <c r="AW386" s="291"/>
      <c r="AX386" s="291"/>
    </row>
    <row r="387" spans="2:50" ht="23.1" customHeight="1" x14ac:dyDescent="0.3">
      <c r="B387" s="319"/>
      <c r="C387" s="320"/>
      <c r="D387" s="320"/>
      <c r="E387" s="320"/>
      <c r="F387" s="291"/>
      <c r="G387" s="291"/>
      <c r="H387" s="291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S387" s="291"/>
      <c r="T387" s="291"/>
      <c r="U387" s="291"/>
      <c r="V387" s="291"/>
      <c r="W387" s="291"/>
      <c r="X387" s="291"/>
      <c r="Y387" s="291"/>
      <c r="Z387" s="291"/>
      <c r="AA387" s="291"/>
      <c r="AB387" s="291"/>
      <c r="AC387" s="291"/>
      <c r="AD387" s="291"/>
      <c r="AE387" s="291"/>
      <c r="AF387" s="291"/>
      <c r="AG387" s="291"/>
      <c r="AH387" s="291"/>
      <c r="AI387" s="291"/>
      <c r="AJ387" s="291"/>
      <c r="AK387" s="291"/>
      <c r="AL387" s="291"/>
      <c r="AM387" s="291"/>
      <c r="AN387" s="291"/>
      <c r="AO387" s="291"/>
      <c r="AP387" s="291"/>
      <c r="AQ387" s="291"/>
      <c r="AR387" s="291"/>
      <c r="AS387" s="291"/>
      <c r="AT387" s="291"/>
      <c r="AU387" s="291"/>
      <c r="AV387" s="291"/>
      <c r="AW387" s="291"/>
      <c r="AX387" s="291"/>
    </row>
    <row r="388" spans="2:50" ht="23.1" customHeight="1" x14ac:dyDescent="0.3">
      <c r="B388" s="319"/>
      <c r="C388" s="320"/>
      <c r="D388" s="320"/>
      <c r="E388" s="320"/>
      <c r="F388" s="291"/>
      <c r="G388" s="291"/>
      <c r="H388" s="291"/>
      <c r="I388" s="291"/>
      <c r="J388" s="291"/>
      <c r="K388" s="291"/>
      <c r="L388" s="291"/>
      <c r="M388" s="291"/>
      <c r="N388" s="291"/>
      <c r="O388" s="291"/>
      <c r="P388" s="291"/>
      <c r="Q388" s="291"/>
      <c r="R388" s="291"/>
      <c r="S388" s="291"/>
      <c r="T388" s="291"/>
      <c r="U388" s="291"/>
      <c r="V388" s="291"/>
      <c r="W388" s="291"/>
      <c r="X388" s="291"/>
      <c r="Y388" s="291"/>
      <c r="Z388" s="291"/>
      <c r="AA388" s="291"/>
      <c r="AB388" s="291"/>
      <c r="AC388" s="291"/>
      <c r="AD388" s="291"/>
      <c r="AE388" s="291"/>
      <c r="AF388" s="291"/>
      <c r="AG388" s="291"/>
      <c r="AH388" s="291"/>
      <c r="AI388" s="291"/>
      <c r="AJ388" s="291"/>
      <c r="AK388" s="291"/>
      <c r="AL388" s="291"/>
      <c r="AM388" s="291"/>
      <c r="AN388" s="291"/>
      <c r="AO388" s="291"/>
      <c r="AP388" s="291"/>
      <c r="AQ388" s="291"/>
      <c r="AR388" s="291"/>
      <c r="AS388" s="291"/>
      <c r="AT388" s="291"/>
      <c r="AU388" s="291"/>
      <c r="AV388" s="291"/>
      <c r="AW388" s="291"/>
      <c r="AX388" s="291"/>
    </row>
    <row r="389" spans="2:50" ht="23.1" customHeight="1" x14ac:dyDescent="0.3">
      <c r="B389" s="319"/>
      <c r="C389" s="320"/>
      <c r="D389" s="320"/>
      <c r="E389" s="320"/>
      <c r="F389" s="291"/>
      <c r="G389" s="291"/>
      <c r="H389" s="291"/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S389" s="291"/>
      <c r="T389" s="291"/>
      <c r="U389" s="291"/>
      <c r="V389" s="291"/>
      <c r="W389" s="291"/>
      <c r="X389" s="291"/>
      <c r="Y389" s="291"/>
      <c r="Z389" s="291"/>
      <c r="AA389" s="291"/>
      <c r="AB389" s="291"/>
      <c r="AC389" s="291"/>
      <c r="AD389" s="291"/>
      <c r="AE389" s="291"/>
      <c r="AF389" s="291"/>
      <c r="AG389" s="291"/>
      <c r="AH389" s="291"/>
      <c r="AI389" s="291"/>
      <c r="AJ389" s="291"/>
      <c r="AK389" s="291"/>
      <c r="AL389" s="291"/>
      <c r="AM389" s="291"/>
      <c r="AN389" s="291"/>
      <c r="AO389" s="291"/>
      <c r="AP389" s="291"/>
      <c r="AQ389" s="291"/>
      <c r="AR389" s="291"/>
      <c r="AS389" s="291"/>
      <c r="AT389" s="291"/>
      <c r="AU389" s="291"/>
      <c r="AV389" s="291"/>
      <c r="AW389" s="291"/>
      <c r="AX389" s="291"/>
    </row>
    <row r="390" spans="2:50" ht="23.1" customHeight="1" x14ac:dyDescent="0.3">
      <c r="B390" s="319"/>
      <c r="C390" s="320"/>
      <c r="D390" s="320"/>
      <c r="E390" s="320"/>
      <c r="F390" s="291"/>
      <c r="G390" s="291"/>
      <c r="H390" s="291"/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S390" s="291"/>
      <c r="T390" s="291"/>
      <c r="U390" s="291"/>
      <c r="V390" s="291"/>
      <c r="W390" s="291"/>
      <c r="X390" s="291"/>
      <c r="Y390" s="291"/>
      <c r="Z390" s="291"/>
      <c r="AA390" s="291"/>
      <c r="AB390" s="291"/>
      <c r="AC390" s="291"/>
      <c r="AD390" s="291"/>
      <c r="AE390" s="291"/>
      <c r="AF390" s="291"/>
      <c r="AG390" s="291"/>
      <c r="AH390" s="291"/>
      <c r="AI390" s="291"/>
      <c r="AJ390" s="291"/>
      <c r="AK390" s="291"/>
      <c r="AL390" s="291"/>
      <c r="AM390" s="291"/>
      <c r="AN390" s="291"/>
      <c r="AO390" s="291"/>
      <c r="AP390" s="291"/>
      <c r="AQ390" s="291"/>
      <c r="AR390" s="291"/>
      <c r="AS390" s="291"/>
      <c r="AT390" s="291"/>
      <c r="AU390" s="291"/>
      <c r="AV390" s="291"/>
      <c r="AW390" s="291"/>
      <c r="AX390" s="291"/>
    </row>
    <row r="391" spans="2:50" ht="23.1" customHeight="1" x14ac:dyDescent="0.3">
      <c r="B391" s="319"/>
      <c r="C391" s="320"/>
      <c r="D391" s="320"/>
      <c r="E391" s="320"/>
      <c r="F391" s="291"/>
      <c r="G391" s="291"/>
      <c r="H391" s="291"/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S391" s="291"/>
      <c r="T391" s="291"/>
      <c r="U391" s="291"/>
      <c r="V391" s="291"/>
      <c r="W391" s="291"/>
      <c r="X391" s="291"/>
      <c r="Y391" s="291"/>
      <c r="Z391" s="291"/>
      <c r="AA391" s="291"/>
      <c r="AB391" s="291"/>
      <c r="AC391" s="291"/>
      <c r="AD391" s="291"/>
      <c r="AE391" s="291"/>
      <c r="AF391" s="291"/>
      <c r="AG391" s="291"/>
      <c r="AH391" s="291"/>
      <c r="AI391" s="291"/>
      <c r="AJ391" s="291"/>
      <c r="AK391" s="291"/>
      <c r="AL391" s="291"/>
      <c r="AM391" s="291"/>
      <c r="AN391" s="291"/>
      <c r="AO391" s="291"/>
      <c r="AP391" s="291"/>
      <c r="AQ391" s="291"/>
      <c r="AR391" s="291"/>
      <c r="AS391" s="291"/>
      <c r="AT391" s="291"/>
      <c r="AU391" s="291"/>
      <c r="AV391" s="291"/>
      <c r="AW391" s="291"/>
      <c r="AX391" s="291"/>
    </row>
    <row r="392" spans="2:50" ht="23.1" customHeight="1" x14ac:dyDescent="0.3">
      <c r="B392" s="319"/>
      <c r="C392" s="320"/>
      <c r="D392" s="320"/>
      <c r="E392" s="320"/>
      <c r="F392" s="291"/>
      <c r="G392" s="291"/>
      <c r="H392" s="291"/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S392" s="291"/>
      <c r="T392" s="291"/>
      <c r="U392" s="291"/>
      <c r="V392" s="291"/>
      <c r="W392" s="291"/>
      <c r="X392" s="291"/>
      <c r="Y392" s="291"/>
      <c r="Z392" s="291"/>
      <c r="AA392" s="291"/>
      <c r="AB392" s="291"/>
      <c r="AC392" s="291"/>
      <c r="AD392" s="291"/>
      <c r="AE392" s="291"/>
      <c r="AF392" s="291"/>
      <c r="AG392" s="291"/>
      <c r="AH392" s="291"/>
      <c r="AI392" s="291"/>
      <c r="AJ392" s="291"/>
      <c r="AK392" s="291"/>
      <c r="AL392" s="291"/>
      <c r="AM392" s="291"/>
      <c r="AN392" s="291"/>
      <c r="AO392" s="291"/>
      <c r="AP392" s="291"/>
      <c r="AQ392" s="291"/>
      <c r="AR392" s="291"/>
      <c r="AS392" s="291"/>
      <c r="AT392" s="291"/>
      <c r="AU392" s="291"/>
      <c r="AV392" s="291"/>
      <c r="AW392" s="291"/>
      <c r="AX392" s="291"/>
    </row>
    <row r="393" spans="2:50" ht="23.1" customHeight="1" x14ac:dyDescent="0.3">
      <c r="B393" s="319"/>
      <c r="C393" s="320"/>
      <c r="D393" s="320"/>
      <c r="E393" s="320"/>
      <c r="F393" s="291"/>
      <c r="G393" s="291"/>
      <c r="H393" s="291"/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S393" s="291"/>
      <c r="T393" s="291"/>
      <c r="U393" s="291"/>
      <c r="V393" s="291"/>
      <c r="W393" s="291"/>
      <c r="X393" s="291"/>
      <c r="Y393" s="291"/>
      <c r="Z393" s="291"/>
      <c r="AA393" s="291"/>
      <c r="AB393" s="291"/>
      <c r="AC393" s="291"/>
      <c r="AD393" s="291"/>
      <c r="AE393" s="291"/>
      <c r="AF393" s="291"/>
      <c r="AG393" s="291"/>
      <c r="AH393" s="291"/>
      <c r="AI393" s="291"/>
      <c r="AJ393" s="291"/>
      <c r="AK393" s="291"/>
      <c r="AL393" s="291"/>
      <c r="AM393" s="291"/>
      <c r="AN393" s="291"/>
      <c r="AO393" s="291"/>
      <c r="AP393" s="291"/>
      <c r="AQ393" s="291"/>
      <c r="AR393" s="291"/>
      <c r="AS393" s="291"/>
      <c r="AT393" s="291"/>
      <c r="AU393" s="291"/>
      <c r="AV393" s="291"/>
      <c r="AW393" s="291"/>
      <c r="AX393" s="291"/>
    </row>
    <row r="394" spans="2:50" ht="23.1" customHeight="1" x14ac:dyDescent="0.3">
      <c r="B394" s="319"/>
      <c r="C394" s="320"/>
      <c r="D394" s="320"/>
      <c r="E394" s="320"/>
      <c r="F394" s="291"/>
      <c r="G394" s="291"/>
      <c r="H394" s="291"/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S394" s="291"/>
      <c r="T394" s="291"/>
      <c r="U394" s="291"/>
      <c r="V394" s="291"/>
      <c r="W394" s="291"/>
      <c r="X394" s="291"/>
      <c r="Y394" s="291"/>
      <c r="Z394" s="291"/>
      <c r="AA394" s="291"/>
      <c r="AB394" s="291"/>
      <c r="AC394" s="291"/>
      <c r="AD394" s="291"/>
      <c r="AE394" s="291"/>
      <c r="AF394" s="291"/>
      <c r="AG394" s="291"/>
      <c r="AH394" s="291"/>
      <c r="AI394" s="291"/>
      <c r="AJ394" s="291"/>
      <c r="AK394" s="291"/>
      <c r="AL394" s="291"/>
      <c r="AM394" s="291"/>
      <c r="AN394" s="291"/>
      <c r="AO394" s="291"/>
      <c r="AP394" s="291"/>
      <c r="AQ394" s="291"/>
      <c r="AR394" s="291"/>
      <c r="AS394" s="291"/>
      <c r="AT394" s="291"/>
      <c r="AU394" s="291"/>
      <c r="AV394" s="291"/>
      <c r="AW394" s="291"/>
      <c r="AX394" s="291"/>
    </row>
    <row r="395" spans="2:50" ht="23.1" customHeight="1" x14ac:dyDescent="0.3">
      <c r="B395" s="319"/>
      <c r="C395" s="320"/>
      <c r="D395" s="320"/>
      <c r="E395" s="320"/>
      <c r="F395" s="291"/>
      <c r="G395" s="291"/>
      <c r="H395" s="291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S395" s="291"/>
      <c r="T395" s="291"/>
      <c r="U395" s="291"/>
      <c r="V395" s="291"/>
      <c r="W395" s="291"/>
      <c r="X395" s="291"/>
      <c r="Y395" s="291"/>
      <c r="Z395" s="291"/>
      <c r="AA395" s="291"/>
      <c r="AB395" s="291"/>
      <c r="AC395" s="291"/>
      <c r="AD395" s="291"/>
      <c r="AE395" s="291"/>
      <c r="AF395" s="291"/>
      <c r="AG395" s="291"/>
      <c r="AH395" s="291"/>
      <c r="AI395" s="291"/>
      <c r="AJ395" s="291"/>
      <c r="AK395" s="291"/>
      <c r="AL395" s="291"/>
      <c r="AM395" s="291"/>
      <c r="AN395" s="291"/>
      <c r="AO395" s="291"/>
      <c r="AP395" s="291"/>
      <c r="AQ395" s="291"/>
      <c r="AR395" s="291"/>
      <c r="AS395" s="291"/>
      <c r="AT395" s="291"/>
      <c r="AU395" s="291"/>
      <c r="AV395" s="291"/>
      <c r="AW395" s="291"/>
      <c r="AX395" s="291"/>
    </row>
    <row r="396" spans="2:50" ht="23.1" customHeight="1" x14ac:dyDescent="0.3">
      <c r="B396" s="319"/>
      <c r="C396" s="320"/>
      <c r="D396" s="320"/>
      <c r="E396" s="320"/>
      <c r="F396" s="291"/>
      <c r="G396" s="291"/>
      <c r="H396" s="291"/>
      <c r="I396" s="291"/>
      <c r="J396" s="291"/>
      <c r="K396" s="291"/>
      <c r="L396" s="291"/>
      <c r="M396" s="291"/>
      <c r="N396" s="291"/>
      <c r="O396" s="291"/>
      <c r="P396" s="291"/>
      <c r="Q396" s="291"/>
      <c r="R396" s="291"/>
      <c r="S396" s="291"/>
      <c r="T396" s="291"/>
      <c r="U396" s="291"/>
      <c r="V396" s="291"/>
      <c r="W396" s="291"/>
      <c r="X396" s="291"/>
      <c r="Y396" s="291"/>
      <c r="Z396" s="291"/>
      <c r="AA396" s="291"/>
      <c r="AB396" s="291"/>
      <c r="AC396" s="291"/>
      <c r="AD396" s="291"/>
      <c r="AE396" s="291"/>
      <c r="AF396" s="291"/>
      <c r="AG396" s="291"/>
      <c r="AH396" s="291"/>
      <c r="AI396" s="291"/>
      <c r="AJ396" s="291"/>
      <c r="AK396" s="291"/>
      <c r="AL396" s="291"/>
      <c r="AM396" s="291"/>
      <c r="AN396" s="291"/>
      <c r="AO396" s="291"/>
      <c r="AP396" s="291"/>
      <c r="AQ396" s="291"/>
      <c r="AR396" s="291"/>
      <c r="AS396" s="291"/>
      <c r="AT396" s="291"/>
      <c r="AU396" s="291"/>
      <c r="AV396" s="291"/>
      <c r="AW396" s="291"/>
      <c r="AX396" s="291"/>
    </row>
    <row r="397" spans="2:50" ht="23.1" customHeight="1" x14ac:dyDescent="0.3">
      <c r="B397" s="319"/>
      <c r="C397" s="320"/>
      <c r="D397" s="320"/>
      <c r="E397" s="320"/>
      <c r="F397" s="291"/>
      <c r="G397" s="291"/>
      <c r="H397" s="291"/>
      <c r="I397" s="291"/>
      <c r="J397" s="291"/>
      <c r="K397" s="291"/>
      <c r="L397" s="291"/>
      <c r="M397" s="291"/>
      <c r="N397" s="291"/>
      <c r="O397" s="291"/>
      <c r="P397" s="291"/>
      <c r="Q397" s="291"/>
      <c r="R397" s="291"/>
      <c r="S397" s="291"/>
      <c r="T397" s="291"/>
      <c r="U397" s="291"/>
      <c r="V397" s="291"/>
      <c r="W397" s="291"/>
      <c r="X397" s="291"/>
      <c r="Y397" s="291"/>
      <c r="Z397" s="291"/>
      <c r="AA397" s="291"/>
      <c r="AB397" s="291"/>
      <c r="AC397" s="291"/>
      <c r="AD397" s="291"/>
      <c r="AE397" s="291"/>
      <c r="AF397" s="291"/>
      <c r="AG397" s="291"/>
      <c r="AH397" s="291"/>
      <c r="AI397" s="291"/>
      <c r="AJ397" s="291"/>
      <c r="AK397" s="291"/>
      <c r="AL397" s="291"/>
      <c r="AM397" s="291"/>
      <c r="AN397" s="291"/>
      <c r="AO397" s="291"/>
      <c r="AP397" s="291"/>
      <c r="AQ397" s="291"/>
      <c r="AR397" s="291"/>
      <c r="AS397" s="291"/>
      <c r="AT397" s="291"/>
      <c r="AU397" s="291"/>
      <c r="AV397" s="291"/>
      <c r="AW397" s="291"/>
      <c r="AX397" s="291"/>
    </row>
    <row r="398" spans="2:50" ht="23.1" customHeight="1" x14ac:dyDescent="0.3">
      <c r="B398" s="319"/>
      <c r="C398" s="320"/>
      <c r="D398" s="320"/>
      <c r="E398" s="320"/>
      <c r="F398" s="291"/>
      <c r="G398" s="291"/>
      <c r="H398" s="291"/>
      <c r="I398" s="291"/>
      <c r="J398" s="291"/>
      <c r="K398" s="291"/>
      <c r="L398" s="291"/>
      <c r="M398" s="291"/>
      <c r="N398" s="291"/>
      <c r="O398" s="291"/>
      <c r="P398" s="291"/>
      <c r="Q398" s="291"/>
      <c r="R398" s="291"/>
      <c r="S398" s="291"/>
      <c r="T398" s="291"/>
      <c r="U398" s="291"/>
      <c r="V398" s="291"/>
      <c r="W398" s="291"/>
      <c r="X398" s="291"/>
      <c r="Y398" s="291"/>
      <c r="Z398" s="291"/>
      <c r="AA398" s="291"/>
      <c r="AB398" s="291"/>
      <c r="AC398" s="291"/>
      <c r="AD398" s="291"/>
      <c r="AE398" s="291"/>
      <c r="AF398" s="291"/>
      <c r="AG398" s="291"/>
      <c r="AH398" s="291"/>
      <c r="AI398" s="291"/>
      <c r="AJ398" s="291"/>
      <c r="AK398" s="291"/>
      <c r="AL398" s="291"/>
      <c r="AM398" s="291"/>
      <c r="AN398" s="291"/>
      <c r="AO398" s="291"/>
      <c r="AP398" s="291"/>
      <c r="AQ398" s="291"/>
      <c r="AR398" s="291"/>
      <c r="AS398" s="291"/>
      <c r="AT398" s="291"/>
      <c r="AU398" s="291"/>
      <c r="AV398" s="291"/>
      <c r="AW398" s="291"/>
      <c r="AX398" s="291"/>
    </row>
    <row r="399" spans="2:50" ht="23.1" customHeight="1" x14ac:dyDescent="0.3">
      <c r="B399" s="319"/>
      <c r="C399" s="320"/>
      <c r="D399" s="320"/>
      <c r="E399" s="320"/>
      <c r="F399" s="291"/>
      <c r="G399" s="291"/>
      <c r="H399" s="291"/>
      <c r="I399" s="291"/>
      <c r="J399" s="291"/>
      <c r="K399" s="291"/>
      <c r="L399" s="291"/>
      <c r="M399" s="291"/>
      <c r="N399" s="291"/>
      <c r="O399" s="291"/>
      <c r="P399" s="291"/>
      <c r="Q399" s="291"/>
      <c r="R399" s="291"/>
      <c r="S399" s="291"/>
      <c r="T399" s="291"/>
      <c r="U399" s="291"/>
      <c r="V399" s="291"/>
      <c r="W399" s="291"/>
      <c r="X399" s="291"/>
      <c r="Y399" s="291"/>
      <c r="Z399" s="291"/>
      <c r="AA399" s="291"/>
      <c r="AB399" s="291"/>
      <c r="AC399" s="291"/>
      <c r="AD399" s="291"/>
      <c r="AE399" s="291"/>
      <c r="AF399" s="291"/>
      <c r="AG399" s="291"/>
      <c r="AH399" s="291"/>
      <c r="AI399" s="291"/>
      <c r="AJ399" s="291"/>
      <c r="AK399" s="291"/>
      <c r="AL399" s="291"/>
      <c r="AM399" s="291"/>
      <c r="AN399" s="291"/>
      <c r="AO399" s="291"/>
      <c r="AP399" s="291"/>
      <c r="AQ399" s="291"/>
      <c r="AR399" s="291"/>
      <c r="AS399" s="291"/>
      <c r="AT399" s="291"/>
      <c r="AU399" s="291"/>
      <c r="AV399" s="291"/>
      <c r="AW399" s="291"/>
      <c r="AX399" s="291"/>
    </row>
    <row r="400" spans="2:50" ht="23.1" customHeight="1" x14ac:dyDescent="0.3">
      <c r="B400" s="319"/>
      <c r="C400" s="320"/>
      <c r="D400" s="320"/>
      <c r="E400" s="320"/>
      <c r="F400" s="291"/>
      <c r="G400" s="291"/>
      <c r="H400" s="291"/>
      <c r="I400" s="291"/>
      <c r="J400" s="291"/>
      <c r="K400" s="291"/>
      <c r="L400" s="291"/>
      <c r="M400" s="291"/>
      <c r="N400" s="291"/>
      <c r="O400" s="291"/>
      <c r="P400" s="291"/>
      <c r="Q400" s="291"/>
      <c r="R400" s="291"/>
      <c r="S400" s="291"/>
      <c r="T400" s="291"/>
      <c r="U400" s="291"/>
      <c r="V400" s="291"/>
      <c r="W400" s="291"/>
      <c r="X400" s="291"/>
      <c r="Y400" s="291"/>
      <c r="Z400" s="291"/>
      <c r="AA400" s="291"/>
      <c r="AB400" s="291"/>
      <c r="AC400" s="291"/>
      <c r="AD400" s="291"/>
      <c r="AE400" s="291"/>
      <c r="AF400" s="291"/>
      <c r="AG400" s="291"/>
      <c r="AH400" s="291"/>
      <c r="AI400" s="291"/>
      <c r="AJ400" s="291"/>
      <c r="AK400" s="291"/>
      <c r="AL400" s="291"/>
      <c r="AM400" s="291"/>
      <c r="AN400" s="291"/>
      <c r="AO400" s="291"/>
      <c r="AP400" s="291"/>
      <c r="AQ400" s="291"/>
      <c r="AR400" s="291"/>
      <c r="AS400" s="291"/>
      <c r="AT400" s="291"/>
      <c r="AU400" s="291"/>
      <c r="AV400" s="291"/>
      <c r="AW400" s="291"/>
      <c r="AX400" s="291"/>
    </row>
    <row r="401" spans="2:50" ht="23.1" customHeight="1" x14ac:dyDescent="0.3">
      <c r="B401" s="319"/>
      <c r="C401" s="320"/>
      <c r="D401" s="320"/>
      <c r="E401" s="320"/>
      <c r="F401" s="291"/>
      <c r="G401" s="291"/>
      <c r="H401" s="291"/>
      <c r="I401" s="291"/>
      <c r="J401" s="291"/>
      <c r="K401" s="291"/>
      <c r="L401" s="291"/>
      <c r="M401" s="291"/>
      <c r="N401" s="291"/>
      <c r="O401" s="291"/>
      <c r="P401" s="291"/>
      <c r="Q401" s="291"/>
      <c r="R401" s="291"/>
      <c r="S401" s="291"/>
      <c r="T401" s="291"/>
      <c r="U401" s="291"/>
      <c r="V401" s="291"/>
      <c r="W401" s="291"/>
      <c r="X401" s="291"/>
      <c r="Y401" s="291"/>
      <c r="Z401" s="291"/>
      <c r="AA401" s="291"/>
      <c r="AB401" s="291"/>
      <c r="AC401" s="291"/>
      <c r="AD401" s="291"/>
      <c r="AE401" s="291"/>
      <c r="AF401" s="291"/>
      <c r="AG401" s="291"/>
      <c r="AH401" s="291"/>
      <c r="AI401" s="291"/>
      <c r="AJ401" s="291"/>
      <c r="AK401" s="291"/>
      <c r="AL401" s="291"/>
      <c r="AM401" s="291"/>
      <c r="AN401" s="291"/>
      <c r="AO401" s="291"/>
      <c r="AP401" s="291"/>
      <c r="AQ401" s="291"/>
      <c r="AR401" s="291"/>
      <c r="AS401" s="291"/>
      <c r="AT401" s="291"/>
      <c r="AU401" s="291"/>
      <c r="AV401" s="291"/>
      <c r="AW401" s="291"/>
      <c r="AX401" s="291"/>
    </row>
    <row r="402" spans="2:50" ht="23.1" customHeight="1" x14ac:dyDescent="0.3">
      <c r="B402" s="319"/>
      <c r="C402" s="320"/>
      <c r="D402" s="320"/>
      <c r="E402" s="320"/>
      <c r="F402" s="291"/>
      <c r="G402" s="291"/>
      <c r="H402" s="291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S402" s="291"/>
      <c r="T402" s="291"/>
      <c r="U402" s="291"/>
      <c r="V402" s="291"/>
      <c r="W402" s="291"/>
      <c r="X402" s="291"/>
      <c r="Y402" s="291"/>
      <c r="Z402" s="291"/>
      <c r="AA402" s="291"/>
      <c r="AB402" s="291"/>
      <c r="AC402" s="291"/>
      <c r="AD402" s="291"/>
      <c r="AE402" s="291"/>
      <c r="AF402" s="291"/>
      <c r="AG402" s="291"/>
      <c r="AH402" s="291"/>
      <c r="AI402" s="291"/>
      <c r="AJ402" s="291"/>
      <c r="AK402" s="291"/>
      <c r="AL402" s="291"/>
      <c r="AM402" s="291"/>
      <c r="AN402" s="291"/>
      <c r="AO402" s="291"/>
      <c r="AP402" s="291"/>
      <c r="AQ402" s="291"/>
      <c r="AR402" s="291"/>
      <c r="AS402" s="291"/>
      <c r="AT402" s="291"/>
      <c r="AU402" s="291"/>
      <c r="AV402" s="291"/>
      <c r="AW402" s="291"/>
      <c r="AX402" s="291"/>
    </row>
    <row r="403" spans="2:50" ht="23.1" customHeight="1" x14ac:dyDescent="0.3">
      <c r="B403" s="319"/>
      <c r="C403" s="320"/>
      <c r="D403" s="320"/>
      <c r="E403" s="320"/>
      <c r="F403" s="291"/>
      <c r="G403" s="291"/>
      <c r="H403" s="291"/>
      <c r="I403" s="291"/>
      <c r="J403" s="291"/>
      <c r="K403" s="291"/>
      <c r="L403" s="291"/>
      <c r="M403" s="291"/>
      <c r="N403" s="291"/>
      <c r="O403" s="291"/>
      <c r="P403" s="291"/>
      <c r="Q403" s="291"/>
      <c r="R403" s="291"/>
      <c r="S403" s="291"/>
      <c r="T403" s="291"/>
      <c r="U403" s="291"/>
      <c r="V403" s="291"/>
      <c r="W403" s="291"/>
      <c r="X403" s="291"/>
      <c r="Y403" s="291"/>
      <c r="Z403" s="291"/>
      <c r="AA403" s="291"/>
      <c r="AB403" s="291"/>
      <c r="AC403" s="291"/>
      <c r="AD403" s="291"/>
      <c r="AE403" s="291"/>
      <c r="AF403" s="291"/>
      <c r="AG403" s="291"/>
      <c r="AH403" s="291"/>
      <c r="AI403" s="291"/>
      <c r="AJ403" s="291"/>
      <c r="AK403" s="291"/>
      <c r="AL403" s="291"/>
      <c r="AM403" s="291"/>
      <c r="AN403" s="291"/>
      <c r="AO403" s="291"/>
      <c r="AP403" s="291"/>
      <c r="AQ403" s="291"/>
      <c r="AR403" s="291"/>
      <c r="AS403" s="291"/>
      <c r="AT403" s="291"/>
      <c r="AU403" s="291"/>
      <c r="AV403" s="291"/>
      <c r="AW403" s="291"/>
      <c r="AX403" s="291"/>
    </row>
    <row r="404" spans="2:50" ht="23.1" customHeight="1" x14ac:dyDescent="0.3">
      <c r="B404" s="319"/>
      <c r="C404" s="320"/>
      <c r="D404" s="320"/>
      <c r="E404" s="320"/>
      <c r="F404" s="291"/>
      <c r="G404" s="291"/>
      <c r="H404" s="291"/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S404" s="291"/>
      <c r="T404" s="291"/>
      <c r="U404" s="291"/>
      <c r="V404" s="291"/>
      <c r="W404" s="291"/>
      <c r="X404" s="291"/>
      <c r="Y404" s="291"/>
      <c r="Z404" s="291"/>
      <c r="AA404" s="291"/>
      <c r="AB404" s="291"/>
      <c r="AC404" s="291"/>
      <c r="AD404" s="291"/>
      <c r="AE404" s="291"/>
      <c r="AF404" s="291"/>
      <c r="AG404" s="291"/>
      <c r="AH404" s="291"/>
      <c r="AI404" s="291"/>
      <c r="AJ404" s="291"/>
      <c r="AK404" s="291"/>
      <c r="AL404" s="291"/>
      <c r="AM404" s="291"/>
      <c r="AN404" s="291"/>
      <c r="AO404" s="291"/>
      <c r="AP404" s="291"/>
      <c r="AQ404" s="291"/>
      <c r="AR404" s="291"/>
      <c r="AS404" s="291"/>
      <c r="AT404" s="291"/>
      <c r="AU404" s="291"/>
      <c r="AV404" s="291"/>
      <c r="AW404" s="291"/>
      <c r="AX404" s="291"/>
    </row>
    <row r="405" spans="2:50" ht="23.1" customHeight="1" x14ac:dyDescent="0.3">
      <c r="B405" s="319"/>
      <c r="C405" s="320"/>
      <c r="D405" s="320"/>
      <c r="E405" s="320"/>
      <c r="F405" s="291"/>
      <c r="G405" s="291"/>
      <c r="H405" s="291"/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S405" s="291"/>
      <c r="T405" s="291"/>
      <c r="U405" s="291"/>
      <c r="V405" s="291"/>
      <c r="W405" s="291"/>
      <c r="X405" s="291"/>
      <c r="Y405" s="291"/>
      <c r="Z405" s="291"/>
      <c r="AA405" s="291"/>
      <c r="AB405" s="291"/>
      <c r="AC405" s="291"/>
      <c r="AD405" s="291"/>
      <c r="AE405" s="291"/>
      <c r="AF405" s="291"/>
      <c r="AG405" s="291"/>
      <c r="AH405" s="291"/>
      <c r="AI405" s="291"/>
      <c r="AJ405" s="291"/>
      <c r="AK405" s="291"/>
      <c r="AL405" s="291"/>
      <c r="AM405" s="291"/>
      <c r="AN405" s="291"/>
      <c r="AO405" s="291"/>
      <c r="AP405" s="291"/>
      <c r="AQ405" s="291"/>
      <c r="AR405" s="291"/>
      <c r="AS405" s="291"/>
      <c r="AT405" s="291"/>
      <c r="AU405" s="291"/>
      <c r="AV405" s="291"/>
      <c r="AW405" s="291"/>
      <c r="AX405" s="291"/>
    </row>
    <row r="406" spans="2:50" ht="23.1" customHeight="1" x14ac:dyDescent="0.3">
      <c r="B406" s="319"/>
      <c r="C406" s="320"/>
      <c r="D406" s="320"/>
      <c r="E406" s="320"/>
      <c r="F406" s="291"/>
      <c r="G406" s="291"/>
      <c r="H406" s="291"/>
      <c r="I406" s="291"/>
      <c r="J406" s="291"/>
      <c r="K406" s="291"/>
      <c r="L406" s="291"/>
      <c r="M406" s="291"/>
      <c r="N406" s="291"/>
      <c r="O406" s="291"/>
      <c r="P406" s="291"/>
      <c r="Q406" s="291"/>
      <c r="R406" s="291"/>
      <c r="S406" s="291"/>
      <c r="T406" s="291"/>
      <c r="U406" s="291"/>
      <c r="V406" s="291"/>
      <c r="W406" s="291"/>
      <c r="X406" s="291"/>
      <c r="Y406" s="291"/>
      <c r="Z406" s="291"/>
      <c r="AA406" s="291"/>
      <c r="AB406" s="291"/>
      <c r="AC406" s="291"/>
      <c r="AD406" s="291"/>
      <c r="AE406" s="291"/>
      <c r="AF406" s="291"/>
      <c r="AG406" s="291"/>
      <c r="AH406" s="291"/>
      <c r="AI406" s="291"/>
      <c r="AJ406" s="291"/>
      <c r="AK406" s="291"/>
      <c r="AL406" s="291"/>
      <c r="AM406" s="291"/>
      <c r="AN406" s="291"/>
      <c r="AO406" s="291"/>
      <c r="AP406" s="291"/>
      <c r="AQ406" s="291"/>
      <c r="AR406" s="291"/>
      <c r="AS406" s="291"/>
      <c r="AT406" s="291"/>
      <c r="AU406" s="291"/>
      <c r="AV406" s="291"/>
      <c r="AW406" s="291"/>
      <c r="AX406" s="291"/>
    </row>
    <row r="407" spans="2:50" ht="23.1" customHeight="1" x14ac:dyDescent="0.3">
      <c r="B407" s="319"/>
      <c r="C407" s="320"/>
      <c r="D407" s="320"/>
      <c r="E407" s="320"/>
      <c r="F407" s="291"/>
      <c r="G407" s="291"/>
      <c r="H407" s="291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S407" s="291"/>
      <c r="T407" s="291"/>
      <c r="U407" s="291"/>
      <c r="V407" s="291"/>
      <c r="W407" s="291"/>
      <c r="X407" s="291"/>
      <c r="Y407" s="291"/>
      <c r="Z407" s="291"/>
      <c r="AA407" s="291"/>
      <c r="AB407" s="291"/>
      <c r="AC407" s="291"/>
      <c r="AD407" s="291"/>
      <c r="AE407" s="291"/>
      <c r="AF407" s="291"/>
      <c r="AG407" s="291"/>
      <c r="AH407" s="291"/>
      <c r="AI407" s="291"/>
      <c r="AJ407" s="291"/>
      <c r="AK407" s="291"/>
      <c r="AL407" s="291"/>
      <c r="AM407" s="291"/>
      <c r="AN407" s="291"/>
      <c r="AO407" s="291"/>
      <c r="AP407" s="291"/>
      <c r="AQ407" s="291"/>
      <c r="AR407" s="291"/>
      <c r="AS407" s="291"/>
      <c r="AT407" s="291"/>
      <c r="AU407" s="291"/>
      <c r="AV407" s="291"/>
      <c r="AW407" s="291"/>
      <c r="AX407" s="291"/>
    </row>
    <row r="408" spans="2:50" ht="23.1" customHeight="1" x14ac:dyDescent="0.3">
      <c r="B408" s="319"/>
      <c r="C408" s="320"/>
      <c r="D408" s="320"/>
      <c r="E408" s="320"/>
      <c r="F408" s="291"/>
      <c r="G408" s="291"/>
      <c r="H408" s="291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S408" s="291"/>
      <c r="T408" s="291"/>
      <c r="U408" s="291"/>
      <c r="V408" s="291"/>
      <c r="W408" s="291"/>
      <c r="X408" s="291"/>
      <c r="Y408" s="291"/>
      <c r="Z408" s="291"/>
      <c r="AA408" s="291"/>
      <c r="AB408" s="291"/>
      <c r="AC408" s="291"/>
      <c r="AD408" s="291"/>
      <c r="AE408" s="291"/>
      <c r="AF408" s="291"/>
      <c r="AG408" s="291"/>
      <c r="AH408" s="291"/>
      <c r="AI408" s="291"/>
      <c r="AJ408" s="291"/>
      <c r="AK408" s="291"/>
      <c r="AL408" s="291"/>
      <c r="AM408" s="291"/>
      <c r="AN408" s="291"/>
      <c r="AO408" s="291"/>
      <c r="AP408" s="291"/>
      <c r="AQ408" s="291"/>
      <c r="AR408" s="291"/>
      <c r="AS408" s="291"/>
      <c r="AT408" s="291"/>
      <c r="AU408" s="291"/>
      <c r="AV408" s="291"/>
      <c r="AW408" s="291"/>
      <c r="AX408" s="291"/>
    </row>
    <row r="409" spans="2:50" ht="23.1" customHeight="1" x14ac:dyDescent="0.3">
      <c r="B409" s="319"/>
      <c r="C409" s="320"/>
      <c r="D409" s="320"/>
      <c r="E409" s="320"/>
      <c r="F409" s="291"/>
      <c r="G409" s="291"/>
      <c r="H409" s="291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S409" s="291"/>
      <c r="T409" s="291"/>
      <c r="U409" s="291"/>
      <c r="V409" s="291"/>
      <c r="W409" s="291"/>
      <c r="X409" s="291"/>
      <c r="Y409" s="291"/>
      <c r="Z409" s="291"/>
      <c r="AA409" s="291"/>
      <c r="AB409" s="291"/>
      <c r="AC409" s="291"/>
      <c r="AD409" s="291"/>
      <c r="AE409" s="291"/>
      <c r="AF409" s="291"/>
      <c r="AG409" s="291"/>
      <c r="AH409" s="291"/>
      <c r="AI409" s="291"/>
      <c r="AJ409" s="291"/>
      <c r="AK409" s="291"/>
      <c r="AL409" s="291"/>
      <c r="AM409" s="291"/>
      <c r="AN409" s="291"/>
      <c r="AO409" s="291"/>
      <c r="AP409" s="291"/>
      <c r="AQ409" s="291"/>
      <c r="AR409" s="291"/>
      <c r="AS409" s="291"/>
      <c r="AT409" s="291"/>
      <c r="AU409" s="291"/>
      <c r="AV409" s="291"/>
      <c r="AW409" s="291"/>
      <c r="AX409" s="291"/>
    </row>
    <row r="410" spans="2:50" ht="23.1" customHeight="1" x14ac:dyDescent="0.3">
      <c r="B410" s="319"/>
      <c r="C410" s="320"/>
      <c r="D410" s="320"/>
      <c r="E410" s="320"/>
      <c r="F410" s="29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S410" s="291"/>
      <c r="T410" s="291"/>
      <c r="U410" s="291"/>
      <c r="V410" s="291"/>
      <c r="W410" s="291"/>
      <c r="X410" s="291"/>
      <c r="Y410" s="291"/>
      <c r="Z410" s="291"/>
      <c r="AA410" s="291"/>
      <c r="AB410" s="291"/>
      <c r="AC410" s="291"/>
      <c r="AD410" s="291"/>
      <c r="AE410" s="291"/>
      <c r="AF410" s="291"/>
      <c r="AG410" s="291"/>
      <c r="AH410" s="291"/>
      <c r="AI410" s="291"/>
      <c r="AJ410" s="291"/>
      <c r="AK410" s="291"/>
      <c r="AL410" s="291"/>
      <c r="AM410" s="291"/>
      <c r="AN410" s="291"/>
      <c r="AO410" s="291"/>
      <c r="AP410" s="291"/>
      <c r="AQ410" s="291"/>
      <c r="AR410" s="291"/>
      <c r="AS410" s="291"/>
      <c r="AT410" s="291"/>
      <c r="AU410" s="291"/>
      <c r="AV410" s="291"/>
      <c r="AW410" s="291"/>
      <c r="AX410" s="291"/>
    </row>
  </sheetData>
  <mergeCells count="2">
    <mergeCell ref="B2:Z2"/>
    <mergeCell ref="B3:Z3"/>
  </mergeCells>
  <phoneticPr fontId="3" type="noConversion"/>
  <pageMargins left="0" right="0" top="0.143700787" bottom="0.39370078740157499" header="0.511811023622047" footer="0.511811023622047"/>
  <pageSetup paperSize="9" orientation="portrait" r:id="rId1"/>
  <headerFooter alignWithMargins="0"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19"/>
  <sheetViews>
    <sheetView rightToLeft="1" view="pageBreakPreview" zoomScale="60" workbookViewId="0">
      <selection activeCell="AB483" sqref="AB483"/>
    </sheetView>
  </sheetViews>
  <sheetFormatPr defaultRowHeight="15.75" x14ac:dyDescent="0.25"/>
  <cols>
    <col min="1" max="1" width="5.7109375" style="290" customWidth="1"/>
    <col min="2" max="2" width="13.85546875" style="290" customWidth="1"/>
    <col min="3" max="3" width="24.7109375" style="290" customWidth="1"/>
    <col min="4" max="4" width="17.140625" style="290" hidden="1" customWidth="1"/>
    <col min="5" max="5" width="8.140625" style="44" hidden="1" customWidth="1"/>
    <col min="6" max="6" width="17.5703125" style="290" hidden="1" customWidth="1"/>
    <col min="7" max="7" width="17" style="290" hidden="1" customWidth="1"/>
    <col min="8" max="9" width="0" style="290" hidden="1" customWidth="1"/>
    <col min="10" max="10" width="17" style="290" hidden="1" customWidth="1"/>
    <col min="11" max="11" width="15.7109375" style="290" hidden="1" customWidth="1"/>
    <col min="12" max="17" width="17" style="290" hidden="1" customWidth="1"/>
    <col min="18" max="18" width="17.85546875" style="290" hidden="1" customWidth="1"/>
    <col min="19" max="19" width="15.42578125" style="290" hidden="1" customWidth="1"/>
    <col min="20" max="20" width="17" style="290" hidden="1" customWidth="1"/>
    <col min="21" max="21" width="17.140625" style="290" hidden="1" customWidth="1"/>
    <col min="22" max="22" width="17.28515625" style="290" hidden="1" customWidth="1"/>
    <col min="23" max="23" width="16.5703125" style="290" hidden="1" customWidth="1"/>
    <col min="24" max="25" width="17" style="290" hidden="1" customWidth="1"/>
    <col min="26" max="26" width="18.85546875" style="290" hidden="1" customWidth="1"/>
    <col min="27" max="27" width="19.140625" style="290" bestFit="1" customWidth="1"/>
    <col min="28" max="28" width="18.7109375" style="290" customWidth="1"/>
    <col min="29" max="29" width="20.5703125" style="290" customWidth="1"/>
    <col min="30" max="16384" width="9.140625" style="290"/>
  </cols>
  <sheetData>
    <row r="1" spans="2:29" s="309" customFormat="1" ht="30.75" customHeight="1" x14ac:dyDescent="0.4">
      <c r="B1" s="377"/>
      <c r="C1" s="377"/>
      <c r="D1" s="377"/>
      <c r="E1" s="377"/>
      <c r="F1" s="377"/>
      <c r="K1" s="70" t="s">
        <v>429</v>
      </c>
    </row>
    <row r="2" spans="2:29" ht="33.75" customHeight="1" thickBot="1" x14ac:dyDescent="0.45">
      <c r="B2" s="377"/>
      <c r="C2" s="377"/>
      <c r="D2" s="377"/>
      <c r="E2" s="377"/>
      <c r="F2" s="377"/>
      <c r="G2" s="309"/>
      <c r="H2" s="309"/>
      <c r="I2" s="309"/>
      <c r="J2" s="309"/>
      <c r="K2" s="70" t="s">
        <v>430</v>
      </c>
      <c r="L2" s="309"/>
      <c r="M2" s="309"/>
      <c r="N2" s="309"/>
      <c r="O2" s="309"/>
      <c r="P2" s="309"/>
      <c r="Q2" s="309"/>
      <c r="R2" s="309"/>
    </row>
    <row r="3" spans="2:29" ht="61.5" customHeight="1" thickBot="1" x14ac:dyDescent="0.35">
      <c r="B3" s="323" t="s">
        <v>256</v>
      </c>
      <c r="C3" s="324" t="s">
        <v>257</v>
      </c>
      <c r="D3" s="325" t="s">
        <v>399</v>
      </c>
      <c r="E3" s="326" t="s">
        <v>392</v>
      </c>
      <c r="F3" s="325" t="s">
        <v>415</v>
      </c>
      <c r="G3" s="325" t="s">
        <v>400</v>
      </c>
      <c r="H3" s="92"/>
      <c r="I3" s="92"/>
      <c r="J3" s="325" t="s">
        <v>453</v>
      </c>
      <c r="K3" s="82" t="s">
        <v>427</v>
      </c>
      <c r="L3" s="82" t="s">
        <v>455</v>
      </c>
      <c r="M3" s="82" t="s">
        <v>428</v>
      </c>
      <c r="N3" s="82" t="s">
        <v>456</v>
      </c>
      <c r="O3" s="82" t="s">
        <v>473</v>
      </c>
      <c r="P3" s="82" t="s">
        <v>580</v>
      </c>
      <c r="Q3" s="82" t="s">
        <v>590</v>
      </c>
      <c r="R3" s="82" t="s">
        <v>476</v>
      </c>
      <c r="S3" s="82" t="s">
        <v>595</v>
      </c>
      <c r="T3" s="82" t="s">
        <v>599</v>
      </c>
      <c r="U3" s="327" t="s">
        <v>604</v>
      </c>
      <c r="V3" s="82" t="s">
        <v>605</v>
      </c>
      <c r="W3" s="82" t="s">
        <v>599</v>
      </c>
      <c r="X3" s="327" t="s">
        <v>606</v>
      </c>
      <c r="Y3" s="327" t="s">
        <v>656</v>
      </c>
      <c r="Z3" s="327" t="s">
        <v>655</v>
      </c>
      <c r="AA3" s="324" t="s">
        <v>628</v>
      </c>
      <c r="AB3" s="328" t="s">
        <v>692</v>
      </c>
      <c r="AC3" s="324" t="s">
        <v>691</v>
      </c>
    </row>
    <row r="4" spans="2:29" ht="23.1" customHeight="1" thickBot="1" x14ac:dyDescent="0.3">
      <c r="B4" s="329"/>
      <c r="C4" s="330"/>
      <c r="D4" s="331"/>
      <c r="E4" s="332"/>
      <c r="F4" s="331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</row>
    <row r="5" spans="2:29" ht="34.5" customHeight="1" thickBot="1" x14ac:dyDescent="0.3">
      <c r="B5" s="334">
        <v>1</v>
      </c>
      <c r="C5" s="335" t="s">
        <v>345</v>
      </c>
      <c r="D5" s="336">
        <f>הכנסות!E9+הכנסות!E21+הכנסות!E13+הכנסות!E15+הכנסות!E230</f>
        <v>49237500</v>
      </c>
      <c r="E5" s="337">
        <f>הכנסות!F9+הכנסות!F21+הכנסות!F13+הכנסות!F15+הכנסות!F230</f>
        <v>0</v>
      </c>
      <c r="F5" s="336">
        <f>הכנסות!G9+הכנסות!G21+הכנסות!G13+הכנסות!G15+הכנסות!G230</f>
        <v>49837762</v>
      </c>
      <c r="G5" s="336">
        <f>הכנסות!H9+הכנסות!H21+הכנסות!H13+הכנסות!H15+הכנסות!H230</f>
        <v>53507000</v>
      </c>
      <c r="H5" s="333"/>
      <c r="I5" s="333"/>
      <c r="J5" s="336">
        <f>הכנסות!K9+הכנסות!K21+הכנסות!K13+הכנסות!K15+הכנסות!K230</f>
        <v>59040000</v>
      </c>
      <c r="K5" s="336">
        <f>הכנסות!L9+הכנסות!L21+הכנסות!L13+הכנסות!L15+הכנסות!L230</f>
        <v>37302760.799999997</v>
      </c>
      <c r="L5" s="336">
        <f>הכנסות!M9+הכנסות!M21+הכנסות!M13+הכנסות!M15+הכנסות!M230</f>
        <v>44503264</v>
      </c>
      <c r="M5" s="336">
        <f>הכנסות!N9+הכנסות!N21+הכנסות!N13+הכנסות!N15+הכנסות!N230</f>
        <v>33824452</v>
      </c>
      <c r="N5" s="336">
        <f>הכנסות!O9+הכנסות!O21+הכנסות!O13+הכנסות!O15+הכנסות!O230</f>
        <v>59869231.666666672</v>
      </c>
      <c r="O5" s="336">
        <f>הכנסות!R9+הכנסות!R21+הכנסות!R13+הכנסות!R15+הכנסות!R230</f>
        <v>62325000</v>
      </c>
      <c r="P5" s="336">
        <f>הכנסות!S9+הכנסות!S21+הכנסות!S13+הכנסות!S15+הכנסות!S230</f>
        <v>64075000</v>
      </c>
      <c r="Q5" s="336">
        <f>הכנסות!T9+הכנסות!T21+הכנסות!T13+הכנסות!T15+הכנסות!T230</f>
        <v>62583225</v>
      </c>
      <c r="R5" s="336">
        <f>הכנסות!U9+הכנסות!U21+הכנסות!U13+הכנסות!U15+הכנסות!U230</f>
        <v>63450000</v>
      </c>
      <c r="S5" s="336">
        <f>הכנסות!V9+הכנסות!V21+הכנסות!V13+הכנסות!V15+הכנסות!V230</f>
        <v>34223575</v>
      </c>
      <c r="T5" s="336">
        <f>הכנסות!W9+הכנסות!W21+הכנסות!W13+הכנסות!W15+הכנסות!W230</f>
        <v>64933978</v>
      </c>
      <c r="U5" s="336">
        <f>הכנסות!X9+הכנסות!X21+הכנסות!X13+הכנסות!X15+הכנסות!X230</f>
        <v>67904000</v>
      </c>
      <c r="V5" s="336">
        <f>הכנסות!Y9+הכנסות!Y21+הכנסות!Y13+הכנסות!Y15+הכנסות!Y230</f>
        <v>54661026</v>
      </c>
      <c r="W5" s="336">
        <f>הכנסות!Z9+הכנסות!Z21+הכנסות!Z13+הכנסות!Z15+הכנסות!Z230</f>
        <v>64911189</v>
      </c>
      <c r="X5" s="336">
        <f>הכנסות!AA9+הכנסות!AA21+הכנסות!AA13+הכנסות!AA15+הכנסות!AA230</f>
        <v>65844000</v>
      </c>
      <c r="Y5" s="336">
        <f>הכנסות!AB9+הכנסות!AB21+הכנסות!AB13+הכנסות!AB15+הכנסות!AB230</f>
        <v>51177452</v>
      </c>
      <c r="Z5" s="336">
        <f>הכנסות!AC9+הכנסות!AC21+הכנסות!AC13+הכנסות!AC15+הכנסות!AC230</f>
        <v>65562200</v>
      </c>
      <c r="AA5" s="336">
        <f>הכנסות!AD9+הכנסות!AD21+הכנסות!AD13+הכנסות!AD15+הכנסות!AD230</f>
        <v>67533000</v>
      </c>
      <c r="AB5" s="336">
        <f>הכנסות!AE9+הכנסות!AE21+הכנסות!AE13+הכנסות!AE15+הכנסות!AE230</f>
        <v>71370000</v>
      </c>
      <c r="AC5" s="336">
        <f>הכנסות!AF9+הכנסות!AF21+הכנסות!AF13+הכנסות!AF15+הכנסות!AF230</f>
        <v>73370000</v>
      </c>
    </row>
    <row r="6" spans="2:29" ht="23.1" customHeight="1" thickBot="1" x14ac:dyDescent="0.3">
      <c r="B6" s="334"/>
      <c r="C6" s="335"/>
      <c r="D6" s="336"/>
      <c r="E6" s="337"/>
      <c r="F6" s="336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</row>
    <row r="7" spans="2:29" ht="23.1" customHeight="1" thickBot="1" x14ac:dyDescent="0.3">
      <c r="B7" s="334"/>
      <c r="C7" s="335"/>
      <c r="D7" s="336"/>
      <c r="E7" s="337"/>
      <c r="F7" s="336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  <c r="U7" s="333"/>
      <c r="V7" s="333"/>
      <c r="W7" s="333"/>
      <c r="X7" s="333"/>
      <c r="Y7" s="333"/>
      <c r="Z7" s="333"/>
      <c r="AA7" s="333"/>
      <c r="AB7" s="333"/>
      <c r="AC7" s="333"/>
    </row>
    <row r="8" spans="2:29" ht="33.75" customHeight="1" thickBot="1" x14ac:dyDescent="0.3">
      <c r="B8" s="334">
        <v>2</v>
      </c>
      <c r="C8" s="335" t="s">
        <v>259</v>
      </c>
      <c r="D8" s="336">
        <f>הכנסות!E48</f>
        <v>523000</v>
      </c>
      <c r="E8" s="337">
        <f>הכנסות!F48</f>
        <v>0</v>
      </c>
      <c r="F8" s="336">
        <f>הכנסות!G48</f>
        <v>1077131</v>
      </c>
      <c r="G8" s="336">
        <f>הכנסות!H48</f>
        <v>1092500</v>
      </c>
      <c r="H8" s="333"/>
      <c r="I8" s="333"/>
      <c r="J8" s="336">
        <f>הכנסות!K48</f>
        <v>2030000</v>
      </c>
      <c r="K8" s="336">
        <f>הכנסות!L48</f>
        <v>1150296</v>
      </c>
      <c r="L8" s="336">
        <f>הכנסות!M48</f>
        <v>891200</v>
      </c>
      <c r="M8" s="336">
        <f>הכנסות!N48</f>
        <v>0</v>
      </c>
      <c r="N8" s="336">
        <f>הכנסות!O48</f>
        <v>1390025.3333333333</v>
      </c>
      <c r="O8" s="336">
        <f>הכנסות!R48</f>
        <v>2229478</v>
      </c>
      <c r="P8" s="336">
        <f>הכנסות!S48</f>
        <v>1889500</v>
      </c>
      <c r="Q8" s="336">
        <f>הכנסות!T48</f>
        <v>1879978</v>
      </c>
      <c r="R8" s="336">
        <f>הכנסות!U48</f>
        <v>1505810</v>
      </c>
      <c r="S8" s="336">
        <f>הכנסות!V48</f>
        <v>571358.28</v>
      </c>
      <c r="T8" s="336">
        <f>הכנסות!W48</f>
        <v>1256748.56</v>
      </c>
      <c r="U8" s="336">
        <f>הכנסות!X48</f>
        <v>1581810</v>
      </c>
      <c r="V8" s="336">
        <f>הכנסות!Y48</f>
        <v>1108985</v>
      </c>
      <c r="W8" s="336">
        <f>הכנסות!Z48</f>
        <v>1330782</v>
      </c>
      <c r="X8" s="336">
        <f>הכנסות!AA48</f>
        <v>1948666</v>
      </c>
      <c r="Y8" s="336">
        <f>הכנסות!AB48</f>
        <v>1721903</v>
      </c>
      <c r="Z8" s="336">
        <f>הכנסות!AC48</f>
        <v>2261800</v>
      </c>
      <c r="AA8" s="336">
        <f>הכנסות!AD48</f>
        <v>2261800</v>
      </c>
      <c r="AB8" s="336">
        <f>הכנסות!AE48</f>
        <v>2754800</v>
      </c>
      <c r="AC8" s="336">
        <f>הכנסות!AF48</f>
        <v>2915500</v>
      </c>
    </row>
    <row r="9" spans="2:29" ht="23.1" customHeight="1" thickBot="1" x14ac:dyDescent="0.3">
      <c r="B9" s="334"/>
      <c r="C9" s="335"/>
      <c r="D9" s="336"/>
      <c r="E9" s="337"/>
      <c r="F9" s="336"/>
      <c r="G9" s="333"/>
      <c r="H9" s="333"/>
      <c r="I9" s="333"/>
      <c r="J9" s="333"/>
      <c r="K9" s="333"/>
      <c r="L9" s="333"/>
      <c r="M9" s="333"/>
      <c r="N9" s="333"/>
      <c r="O9" s="333"/>
      <c r="P9" s="333"/>
      <c r="Q9" s="333"/>
      <c r="R9" s="333"/>
      <c r="S9" s="333"/>
      <c r="T9" s="333"/>
      <c r="U9" s="333"/>
      <c r="V9" s="333"/>
      <c r="W9" s="333"/>
      <c r="X9" s="333"/>
      <c r="Y9" s="333"/>
      <c r="Z9" s="333"/>
      <c r="AA9" s="333"/>
      <c r="AB9" s="333"/>
      <c r="AC9" s="333"/>
    </row>
    <row r="10" spans="2:29" ht="23.1" customHeight="1" thickBot="1" x14ac:dyDescent="0.3">
      <c r="B10" s="334"/>
      <c r="C10" s="335"/>
      <c r="D10" s="336"/>
      <c r="E10" s="337"/>
      <c r="F10" s="336"/>
      <c r="G10" s="333"/>
      <c r="H10" s="333"/>
      <c r="I10" s="333"/>
      <c r="J10" s="333"/>
      <c r="K10" s="333"/>
      <c r="L10" s="333"/>
      <c r="M10" s="333"/>
      <c r="N10" s="333"/>
      <c r="O10" s="333"/>
      <c r="P10" s="333"/>
      <c r="Q10" s="333"/>
      <c r="R10" s="333"/>
      <c r="S10" s="333"/>
      <c r="T10" s="333"/>
      <c r="U10" s="333"/>
      <c r="V10" s="333"/>
      <c r="W10" s="333"/>
      <c r="X10" s="333"/>
      <c r="Y10" s="333"/>
      <c r="Z10" s="333"/>
      <c r="AA10" s="333"/>
      <c r="AB10" s="333"/>
      <c r="AC10" s="333"/>
    </row>
    <row r="11" spans="2:29" ht="35.25" customHeight="1" thickBot="1" x14ac:dyDescent="0.3">
      <c r="B11" s="334">
        <v>3</v>
      </c>
      <c r="C11" s="335" t="s">
        <v>260</v>
      </c>
      <c r="D11" s="336" t="e">
        <f>הכנסות!E211</f>
        <v>#REF!</v>
      </c>
      <c r="E11" s="337" t="e">
        <f>הכנסות!F211</f>
        <v>#REF!</v>
      </c>
      <c r="F11" s="336" t="e">
        <f>הכנסות!G211</f>
        <v>#REF!</v>
      </c>
      <c r="G11" s="336" t="e">
        <f>הכנסות!H211</f>
        <v>#REF!</v>
      </c>
      <c r="H11" s="333"/>
      <c r="I11" s="333"/>
      <c r="J11" s="336" t="e">
        <f>הכנסות!K211</f>
        <v>#REF!</v>
      </c>
      <c r="K11" s="336" t="e">
        <f>הכנסות!L211</f>
        <v>#REF!</v>
      </c>
      <c r="L11" s="336" t="e">
        <f>הכנסות!M211</f>
        <v>#REF!</v>
      </c>
      <c r="M11" s="336" t="e">
        <f>הכנסות!N211</f>
        <v>#REF!</v>
      </c>
      <c r="N11" s="336" t="e">
        <f>הכנסות!O211</f>
        <v>#REF!</v>
      </c>
      <c r="O11" s="336" t="e">
        <f>הכנסות!R211</f>
        <v>#REF!</v>
      </c>
      <c r="P11" s="336" t="e">
        <f>הכנסות!S211</f>
        <v>#REF!</v>
      </c>
      <c r="Q11" s="336" t="e">
        <f>הכנסות!T211</f>
        <v>#REF!</v>
      </c>
      <c r="R11" s="336" t="e">
        <f>הכנסות!U211</f>
        <v>#REF!</v>
      </c>
      <c r="S11" s="336" t="e">
        <f>הכנסות!V211</f>
        <v>#REF!</v>
      </c>
      <c r="T11" s="336" t="e">
        <f>הכנסות!W211</f>
        <v>#REF!</v>
      </c>
      <c r="U11" s="336" t="e">
        <f>הכנסות!X211</f>
        <v>#REF!</v>
      </c>
      <c r="V11" s="336" t="e">
        <f>הכנסות!Y211</f>
        <v>#REF!</v>
      </c>
      <c r="W11" s="336" t="e">
        <f>הכנסות!Z211</f>
        <v>#REF!</v>
      </c>
      <c r="X11" s="336" t="e">
        <f>הכנסות!AA211</f>
        <v>#REF!</v>
      </c>
      <c r="Y11" s="336" t="e">
        <f>הכנסות!AB211</f>
        <v>#REF!</v>
      </c>
      <c r="Z11" s="336" t="e">
        <f>הכנסות!AC211</f>
        <v>#REF!</v>
      </c>
      <c r="AA11" s="336">
        <f>הכנסות!AD211</f>
        <v>90762000.400000006</v>
      </c>
      <c r="AB11" s="336">
        <f>הכנסות!AE211</f>
        <v>93184500</v>
      </c>
      <c r="AC11" s="336">
        <f>הכנסות!AF211</f>
        <v>104411500</v>
      </c>
    </row>
    <row r="12" spans="2:29" ht="23.1" customHeight="1" thickBot="1" x14ac:dyDescent="0.3">
      <c r="B12" s="334"/>
      <c r="C12" s="335"/>
      <c r="D12" s="336"/>
      <c r="E12" s="337"/>
      <c r="F12" s="336"/>
      <c r="G12" s="333"/>
      <c r="H12" s="333"/>
      <c r="I12" s="333"/>
      <c r="J12" s="333"/>
      <c r="K12" s="333"/>
      <c r="L12" s="333"/>
      <c r="M12" s="333"/>
      <c r="N12" s="333"/>
      <c r="O12" s="333"/>
      <c r="P12" s="333"/>
      <c r="Q12" s="333"/>
      <c r="R12" s="333"/>
      <c r="S12" s="333"/>
      <c r="T12" s="333"/>
      <c r="U12" s="333"/>
      <c r="V12" s="333"/>
      <c r="W12" s="333"/>
      <c r="X12" s="333"/>
      <c r="Y12" s="333"/>
      <c r="Z12" s="333"/>
      <c r="AA12" s="333"/>
      <c r="AB12" s="333"/>
      <c r="AC12" s="333"/>
    </row>
    <row r="13" spans="2:29" ht="38.25" customHeight="1" thickBot="1" x14ac:dyDescent="0.3">
      <c r="B13" s="334">
        <v>4</v>
      </c>
      <c r="C13" s="335" t="s">
        <v>261</v>
      </c>
      <c r="D13" s="336">
        <f>הכנסות!E229</f>
        <v>8670000</v>
      </c>
      <c r="E13" s="337">
        <f>הכנסות!F229</f>
        <v>0</v>
      </c>
      <c r="F13" s="336">
        <f>הכנסות!G229</f>
        <v>11884819</v>
      </c>
      <c r="G13" s="336">
        <f>הכנסות!H229</f>
        <v>6744000</v>
      </c>
      <c r="H13" s="333"/>
      <c r="I13" s="333"/>
      <c r="J13" s="336">
        <f>הכנסות!K229</f>
        <v>6123330.9000000004</v>
      </c>
      <c r="K13" s="336">
        <f>הכנסות!L229</f>
        <v>5664000</v>
      </c>
      <c r="L13" s="336">
        <f>הכנסות!M229</f>
        <v>3263099</v>
      </c>
      <c r="M13" s="336">
        <f>הכנסות!N229</f>
        <v>0</v>
      </c>
      <c r="N13" s="336">
        <f>הכנסות!O229</f>
        <v>4810500</v>
      </c>
      <c r="O13" s="336">
        <f>הכנסות!R229</f>
        <v>3905000</v>
      </c>
      <c r="P13" s="336">
        <f>הכנסות!S229</f>
        <v>3113100</v>
      </c>
      <c r="Q13" s="336">
        <f>הכנסות!T229</f>
        <v>2819219</v>
      </c>
      <c r="R13" s="336">
        <f>הכנסות!U229</f>
        <v>3113100</v>
      </c>
      <c r="S13" s="336">
        <f>הכנסות!V229</f>
        <v>1185550</v>
      </c>
      <c r="T13" s="336">
        <f>הכנסות!W229</f>
        <v>2621100</v>
      </c>
      <c r="U13" s="336">
        <f>הכנסות!X229</f>
        <v>2683100</v>
      </c>
      <c r="V13" s="336">
        <f>הכנסות!Y229</f>
        <v>1743665</v>
      </c>
      <c r="W13" s="336">
        <f>הכנסות!Z229</f>
        <v>2092398</v>
      </c>
      <c r="X13" s="336">
        <f>הכנסות!AA229</f>
        <v>2313250</v>
      </c>
      <c r="Y13" s="336">
        <f>הכנסות!AB229</f>
        <v>1230899</v>
      </c>
      <c r="Z13" s="336">
        <f>הכנסות!AC229</f>
        <v>1471000</v>
      </c>
      <c r="AA13" s="336">
        <f>הכנסות!AD229</f>
        <v>1378300</v>
      </c>
      <c r="AB13" s="336">
        <f>הכנסות!AE229</f>
        <v>903100</v>
      </c>
      <c r="AC13" s="336">
        <f>הכנסות!AF229</f>
        <v>361000</v>
      </c>
    </row>
    <row r="14" spans="2:29" ht="23.1" customHeight="1" thickBot="1" x14ac:dyDescent="0.3">
      <c r="B14" s="338"/>
      <c r="C14" s="339"/>
      <c r="D14" s="339"/>
      <c r="E14" s="339"/>
      <c r="F14" s="339"/>
      <c r="G14" s="333"/>
      <c r="H14" s="333"/>
      <c r="I14" s="333"/>
      <c r="J14" s="333"/>
      <c r="K14" s="333"/>
      <c r="L14" s="333"/>
      <c r="M14" s="333"/>
      <c r="N14" s="333"/>
      <c r="O14" s="333"/>
      <c r="P14" s="333"/>
      <c r="Q14" s="333"/>
      <c r="R14" s="333"/>
      <c r="S14" s="333"/>
      <c r="T14" s="333"/>
      <c r="U14" s="333"/>
      <c r="V14" s="333"/>
      <c r="W14" s="333"/>
      <c r="X14" s="333"/>
      <c r="Y14" s="333"/>
      <c r="Z14" s="333"/>
      <c r="AA14" s="333"/>
      <c r="AB14" s="333"/>
      <c r="AC14" s="333"/>
    </row>
    <row r="15" spans="2:29" ht="23.1" customHeight="1" thickBot="1" x14ac:dyDescent="0.3">
      <c r="B15" s="340"/>
      <c r="C15" s="341"/>
      <c r="D15" s="342"/>
      <c r="E15" s="337"/>
      <c r="F15" s="342"/>
      <c r="G15" s="333"/>
      <c r="H15" s="333"/>
      <c r="I15" s="333"/>
      <c r="J15" s="333"/>
      <c r="K15" s="333"/>
      <c r="L15" s="333"/>
      <c r="M15" s="333"/>
      <c r="N15" s="333"/>
      <c r="O15" s="333"/>
      <c r="P15" s="333"/>
      <c r="Q15" s="333"/>
      <c r="R15" s="333"/>
      <c r="S15" s="333"/>
      <c r="T15" s="333"/>
      <c r="U15" s="333"/>
      <c r="V15" s="333"/>
      <c r="W15" s="333"/>
      <c r="X15" s="333"/>
      <c r="Y15" s="333"/>
      <c r="Z15" s="333"/>
      <c r="AA15" s="333"/>
      <c r="AB15" s="333"/>
      <c r="AC15" s="333"/>
    </row>
    <row r="16" spans="2:29" ht="42.75" customHeight="1" thickBot="1" x14ac:dyDescent="0.3">
      <c r="B16" s="340"/>
      <c r="C16" s="334" t="s">
        <v>282</v>
      </c>
      <c r="D16" s="343" t="e">
        <f>SUM(D5:D13)</f>
        <v>#REF!</v>
      </c>
      <c r="E16" s="344" t="e">
        <f>SUM(E5:E13)</f>
        <v>#REF!</v>
      </c>
      <c r="F16" s="343" t="e">
        <f>SUM(F5:F13)</f>
        <v>#REF!</v>
      </c>
      <c r="G16" s="343" t="e">
        <f>SUM(G5:G13)</f>
        <v>#REF!</v>
      </c>
      <c r="H16" s="345"/>
      <c r="I16" s="345"/>
      <c r="J16" s="343" t="e">
        <f t="shared" ref="J16:R16" si="0">SUM(J5:J13)</f>
        <v>#REF!</v>
      </c>
      <c r="K16" s="343" t="e">
        <f t="shared" si="0"/>
        <v>#REF!</v>
      </c>
      <c r="L16" s="343" t="e">
        <f t="shared" si="0"/>
        <v>#REF!</v>
      </c>
      <c r="M16" s="343" t="e">
        <f t="shared" si="0"/>
        <v>#REF!</v>
      </c>
      <c r="N16" s="343" t="e">
        <f t="shared" si="0"/>
        <v>#REF!</v>
      </c>
      <c r="O16" s="343" t="e">
        <f t="shared" si="0"/>
        <v>#REF!</v>
      </c>
      <c r="P16" s="343" t="e">
        <f t="shared" si="0"/>
        <v>#REF!</v>
      </c>
      <c r="Q16" s="343" t="e">
        <f t="shared" si="0"/>
        <v>#REF!</v>
      </c>
      <c r="R16" s="343" t="e">
        <f t="shared" si="0"/>
        <v>#REF!</v>
      </c>
      <c r="S16" s="343" t="e">
        <f t="shared" ref="S16:X16" si="1">SUM(S5:S13)</f>
        <v>#REF!</v>
      </c>
      <c r="T16" s="343" t="e">
        <f t="shared" si="1"/>
        <v>#REF!</v>
      </c>
      <c r="U16" s="343" t="e">
        <f t="shared" si="1"/>
        <v>#REF!</v>
      </c>
      <c r="V16" s="343" t="e">
        <f t="shared" si="1"/>
        <v>#REF!</v>
      </c>
      <c r="W16" s="343" t="e">
        <f t="shared" si="1"/>
        <v>#REF!</v>
      </c>
      <c r="X16" s="343" t="e">
        <f t="shared" si="1"/>
        <v>#REF!</v>
      </c>
      <c r="Y16" s="343" t="e">
        <f>SUM(Y5:Y13)</f>
        <v>#REF!</v>
      </c>
      <c r="Z16" s="343" t="e">
        <f>SUM(Z5:Z13)</f>
        <v>#REF!</v>
      </c>
      <c r="AA16" s="343">
        <f>SUM(AA5:AA13)</f>
        <v>161935100.40000001</v>
      </c>
      <c r="AB16" s="343">
        <f>SUM(AB5:AB13)</f>
        <v>168212400</v>
      </c>
      <c r="AC16" s="343">
        <f>SUM(AC5:AC13)</f>
        <v>181058000</v>
      </c>
    </row>
    <row r="17" spans="2:6" ht="20.25" x14ac:dyDescent="0.3">
      <c r="B17" s="346"/>
      <c r="C17" s="346"/>
      <c r="D17" s="347"/>
      <c r="E17" s="348"/>
      <c r="F17" s="347"/>
    </row>
    <row r="18" spans="2:6" ht="20.25" x14ac:dyDescent="0.3">
      <c r="B18" s="349"/>
      <c r="C18" s="349"/>
      <c r="D18" s="350"/>
      <c r="E18" s="348"/>
      <c r="F18" s="347"/>
    </row>
    <row r="19" spans="2:6" ht="20.25" x14ac:dyDescent="0.3">
      <c r="B19" s="346"/>
      <c r="C19" s="346"/>
      <c r="D19" s="347"/>
      <c r="E19" s="348"/>
      <c r="F19" s="347"/>
    </row>
  </sheetData>
  <mergeCells count="2">
    <mergeCell ref="B1:F1"/>
    <mergeCell ref="B2:F2"/>
  </mergeCells>
  <phoneticPr fontId="3" type="noConversion"/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>
    <oddFooter>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V275"/>
  <sheetViews>
    <sheetView rightToLeft="1" view="pageBreakPreview" zoomScaleNormal="100" zoomScaleSheetLayoutView="100" workbookViewId="0">
      <pane ySplit="5" topLeftCell="A165" activePane="bottomLeft" state="frozen"/>
      <selection activeCell="AB483" sqref="AB483"/>
      <selection pane="bottomLeft" activeCell="AB483" sqref="AB483"/>
    </sheetView>
  </sheetViews>
  <sheetFormatPr defaultRowHeight="23.1" customHeight="1" x14ac:dyDescent="0.25"/>
  <cols>
    <col min="1" max="1" width="1.28515625" customWidth="1"/>
    <col min="2" max="2" width="1.7109375" hidden="1" customWidth="1"/>
    <col min="3" max="3" width="14.42578125" bestFit="1" customWidth="1"/>
    <col min="4" max="4" width="38.5703125" customWidth="1"/>
    <col min="5" max="5" width="11.85546875" hidden="1" customWidth="1"/>
    <col min="6" max="6" width="11" hidden="1" customWidth="1"/>
    <col min="7" max="7" width="13.5703125" hidden="1" customWidth="1"/>
    <col min="8" max="8" width="12" hidden="1" customWidth="1"/>
    <col min="9" max="10" width="4.28515625" hidden="1" customWidth="1"/>
    <col min="11" max="12" width="11.28515625" hidden="1" customWidth="1"/>
    <col min="13" max="13" width="12" hidden="1" customWidth="1"/>
    <col min="14" max="14" width="10.85546875" hidden="1" customWidth="1"/>
    <col min="15" max="15" width="13" style="50" hidden="1" customWidth="1"/>
    <col min="16" max="16" width="12.5703125" style="50" hidden="1" customWidth="1"/>
    <col min="17" max="17" width="9.85546875" style="50" hidden="1" customWidth="1"/>
    <col min="18" max="18" width="10.85546875" hidden="1" customWidth="1"/>
    <col min="19" max="20" width="13.7109375" hidden="1" customWidth="1"/>
    <col min="21" max="21" width="18.28515625" style="67" hidden="1" customWidth="1"/>
    <col min="22" max="22" width="14.7109375" hidden="1" customWidth="1"/>
    <col min="23" max="23" width="16.5703125" hidden="1" customWidth="1"/>
    <col min="24" max="24" width="13.7109375" hidden="1" customWidth="1"/>
    <col min="25" max="25" width="10.85546875" hidden="1" customWidth="1"/>
    <col min="26" max="26" width="16.140625" hidden="1" customWidth="1"/>
    <col min="27" max="27" width="13.85546875" hidden="1" customWidth="1"/>
    <col min="28" max="28" width="10.85546875" hidden="1" customWidth="1"/>
    <col min="29" max="29" width="16.5703125" hidden="1" customWidth="1"/>
    <col min="30" max="30" width="14" bestFit="1" customWidth="1"/>
    <col min="31" max="31" width="18.42578125" customWidth="1"/>
    <col min="32" max="32" width="16.5703125" bestFit="1" customWidth="1"/>
    <col min="33" max="38" width="0" hidden="1" customWidth="1"/>
  </cols>
  <sheetData>
    <row r="1" spans="2:256" ht="9" customHeight="1" x14ac:dyDescent="0.25">
      <c r="AA1" s="81"/>
    </row>
    <row r="2" spans="2:256" ht="23.1" customHeight="1" x14ac:dyDescent="0.25">
      <c r="B2" s="14"/>
      <c r="C2" s="380" t="s">
        <v>696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1"/>
      <c r="AA2" s="381"/>
      <c r="AB2" s="381"/>
      <c r="AC2" s="381"/>
      <c r="AD2" s="381"/>
      <c r="AE2" s="381"/>
      <c r="AF2" s="381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6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</row>
    <row r="3" spans="2:256" ht="23.1" customHeight="1" x14ac:dyDescent="0.25">
      <c r="B3" s="14"/>
      <c r="C3" s="380" t="s">
        <v>365</v>
      </c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1"/>
      <c r="V3" s="381"/>
      <c r="W3" s="381"/>
      <c r="X3" s="381"/>
      <c r="Y3" s="381"/>
      <c r="Z3" s="381"/>
      <c r="AA3" s="381"/>
      <c r="AB3" s="381"/>
      <c r="AC3" s="381"/>
      <c r="AD3" s="381"/>
      <c r="AE3" s="381"/>
      <c r="AF3" s="381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6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</row>
    <row r="4" spans="2:256" ht="29.25" customHeight="1" x14ac:dyDescent="0.25">
      <c r="B4" s="14"/>
      <c r="C4" s="378" t="s">
        <v>266</v>
      </c>
      <c r="D4" s="379"/>
      <c r="E4" s="379"/>
      <c r="F4" s="379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379"/>
      <c r="AC4" s="379"/>
      <c r="AD4" s="379"/>
      <c r="AE4" s="379"/>
      <c r="AF4" s="379"/>
      <c r="AG4" s="18"/>
      <c r="AH4" s="18"/>
      <c r="AI4" s="18"/>
      <c r="AJ4" s="18"/>
      <c r="AK4" s="19"/>
      <c r="AL4" s="20"/>
      <c r="AM4" s="20"/>
      <c r="AN4" s="18"/>
      <c r="AO4" s="18"/>
      <c r="AP4" s="19"/>
      <c r="AQ4" s="20"/>
      <c r="AR4" s="20"/>
      <c r="AS4" s="18"/>
      <c r="AT4" s="18"/>
      <c r="AU4" s="16"/>
      <c r="AV4" s="18"/>
      <c r="AW4" s="18"/>
      <c r="AX4" s="19"/>
      <c r="AY4" s="19"/>
      <c r="AZ4" s="19"/>
      <c r="BA4" s="18"/>
      <c r="BB4" s="18"/>
      <c r="BC4" s="19"/>
      <c r="BD4" s="18"/>
      <c r="BE4" s="18"/>
      <c r="BF4" s="18"/>
      <c r="BG4" s="18"/>
      <c r="BH4" s="19"/>
      <c r="BI4" s="18"/>
      <c r="BJ4" s="18"/>
      <c r="BK4" s="18"/>
      <c r="BL4" s="18"/>
      <c r="BM4" s="19"/>
      <c r="BN4" s="18"/>
      <c r="BO4" s="18"/>
      <c r="BP4" s="18"/>
      <c r="BQ4" s="18"/>
      <c r="BR4" s="19"/>
      <c r="BS4" s="18"/>
      <c r="BT4" s="18"/>
      <c r="BU4" s="18"/>
      <c r="BV4" s="18"/>
      <c r="BW4" s="19"/>
      <c r="BX4" s="18"/>
      <c r="BY4" s="18"/>
      <c r="BZ4" s="18"/>
      <c r="CA4" s="18"/>
      <c r="CB4" s="19"/>
      <c r="CC4" s="18"/>
      <c r="CD4" s="18"/>
      <c r="CE4" s="18"/>
      <c r="CF4" s="18"/>
      <c r="CG4" s="19"/>
      <c r="CH4" s="18"/>
      <c r="CI4" s="18"/>
      <c r="CJ4" s="18"/>
      <c r="CK4" s="18"/>
      <c r="CL4" s="19"/>
      <c r="CM4" s="18"/>
      <c r="CN4" s="18"/>
      <c r="CO4" s="18"/>
      <c r="CP4" s="18"/>
      <c r="CQ4" s="19"/>
      <c r="CR4" s="18"/>
      <c r="CS4" s="18"/>
      <c r="CT4" s="18"/>
      <c r="CU4" s="18"/>
      <c r="CV4" s="19"/>
      <c r="CW4" s="18"/>
      <c r="CX4" s="18"/>
      <c r="CY4" s="18"/>
      <c r="CZ4" s="16"/>
      <c r="DA4" s="18"/>
      <c r="DB4" s="19"/>
      <c r="DC4" s="18"/>
      <c r="DD4" s="18"/>
      <c r="DE4" s="18"/>
      <c r="DF4" s="18"/>
      <c r="DG4" s="19"/>
      <c r="DH4" s="18"/>
      <c r="DI4" s="18"/>
      <c r="DJ4" s="18"/>
      <c r="DK4" s="18"/>
      <c r="DL4" s="19"/>
      <c r="DM4" s="18"/>
      <c r="DN4" s="18"/>
      <c r="DO4" s="18"/>
      <c r="DP4" s="18"/>
      <c r="DQ4" s="19"/>
      <c r="DR4" s="18"/>
      <c r="DS4" s="18"/>
      <c r="DT4" s="18"/>
      <c r="DU4" s="18"/>
      <c r="DV4" s="19"/>
      <c r="DW4" s="18"/>
      <c r="DX4" s="18"/>
      <c r="DY4" s="18"/>
      <c r="DZ4" s="18"/>
      <c r="EA4" s="19"/>
      <c r="EB4" s="18"/>
      <c r="EC4" s="18"/>
      <c r="ED4" s="18"/>
      <c r="EE4" s="18"/>
      <c r="EF4" s="19"/>
      <c r="EG4" s="18"/>
      <c r="EH4" s="18"/>
      <c r="EI4" s="18"/>
      <c r="EJ4" s="18"/>
      <c r="EK4" s="19"/>
      <c r="EL4" s="18"/>
      <c r="EM4" s="18"/>
      <c r="EN4" s="18"/>
      <c r="EO4" s="18"/>
      <c r="EP4" s="19"/>
      <c r="EQ4" s="18"/>
      <c r="ER4" s="18"/>
      <c r="ES4" s="18"/>
      <c r="ET4" s="18"/>
      <c r="EU4" s="19"/>
      <c r="EV4" s="18"/>
      <c r="EW4" s="18"/>
      <c r="EX4" s="18"/>
      <c r="EY4" s="18"/>
      <c r="EZ4" s="19"/>
      <c r="FA4" s="18"/>
      <c r="FB4" s="18"/>
      <c r="FC4" s="18"/>
      <c r="FD4" s="18"/>
      <c r="FE4" s="19"/>
      <c r="FF4" s="18"/>
      <c r="FG4" s="18"/>
      <c r="FH4" s="18"/>
      <c r="FI4" s="18"/>
      <c r="FJ4" s="19"/>
      <c r="FK4" s="18"/>
      <c r="FL4" s="18"/>
      <c r="FM4" s="18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</row>
    <row r="5" spans="2:256" ht="35.25" customHeight="1" x14ac:dyDescent="0.3">
      <c r="B5" s="14"/>
      <c r="C5" s="93" t="s">
        <v>0</v>
      </c>
      <c r="D5" s="93" t="s">
        <v>1</v>
      </c>
      <c r="E5" s="93">
        <v>2009</v>
      </c>
      <c r="F5" s="93" t="s">
        <v>386</v>
      </c>
      <c r="G5" s="93">
        <v>2009</v>
      </c>
      <c r="H5" s="93">
        <v>2010</v>
      </c>
      <c r="I5" s="93"/>
      <c r="J5" s="94"/>
      <c r="K5" s="93">
        <v>2011</v>
      </c>
      <c r="L5" s="95" t="s">
        <v>426</v>
      </c>
      <c r="M5" s="96" t="s">
        <v>454</v>
      </c>
      <c r="N5" s="93">
        <v>2010</v>
      </c>
      <c r="O5" s="93">
        <v>2011</v>
      </c>
      <c r="P5" s="93" t="s">
        <v>462</v>
      </c>
      <c r="Q5" s="97" t="s">
        <v>463</v>
      </c>
      <c r="R5" s="98">
        <v>2012</v>
      </c>
      <c r="S5" s="93"/>
      <c r="T5" s="93">
        <v>2012</v>
      </c>
      <c r="U5" s="99">
        <v>2013</v>
      </c>
      <c r="V5" s="100" t="s">
        <v>595</v>
      </c>
      <c r="W5" s="93" t="s">
        <v>596</v>
      </c>
      <c r="X5" s="93" t="s">
        <v>604</v>
      </c>
      <c r="Y5" s="100" t="s">
        <v>605</v>
      </c>
      <c r="Z5" s="93" t="s">
        <v>599</v>
      </c>
      <c r="AA5" s="93" t="s">
        <v>606</v>
      </c>
      <c r="AB5" s="93" t="s">
        <v>629</v>
      </c>
      <c r="AC5" s="101" t="s">
        <v>655</v>
      </c>
      <c r="AD5" s="101" t="s">
        <v>654</v>
      </c>
      <c r="AE5" s="101" t="s">
        <v>692</v>
      </c>
      <c r="AF5" s="101" t="s">
        <v>691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6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6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</row>
    <row r="6" spans="2:256" ht="30" customHeight="1" x14ac:dyDescent="0.25">
      <c r="B6" s="14">
        <f>4/3</f>
        <v>1.3333333333333333</v>
      </c>
      <c r="C6" s="64"/>
      <c r="D6" s="75"/>
      <c r="E6" s="75"/>
      <c r="F6" s="75"/>
      <c r="G6" s="76"/>
      <c r="H6" s="76"/>
      <c r="I6" s="76">
        <f t="shared" ref="I6:I30" si="0">4/3</f>
        <v>1.3333333333333333</v>
      </c>
      <c r="J6" s="77"/>
      <c r="K6" s="74"/>
      <c r="L6" s="74"/>
      <c r="M6" s="74"/>
      <c r="N6" s="74"/>
      <c r="O6" s="78"/>
      <c r="P6" s="78"/>
      <c r="Q6" s="78"/>
      <c r="R6" s="74"/>
      <c r="S6" s="74"/>
      <c r="T6" s="74"/>
      <c r="U6" s="65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</row>
    <row r="7" spans="2:256" ht="30" customHeight="1" x14ac:dyDescent="0.25">
      <c r="B7" s="14">
        <v>8442720</v>
      </c>
      <c r="C7" s="102">
        <v>111100.1</v>
      </c>
      <c r="D7" s="103" t="s">
        <v>286</v>
      </c>
      <c r="E7" s="104">
        <v>10600000</v>
      </c>
      <c r="F7" s="105"/>
      <c r="G7" s="104">
        <v>13450250</v>
      </c>
      <c r="H7" s="104">
        <v>16500000</v>
      </c>
      <c r="I7" s="104">
        <f t="shared" si="0"/>
        <v>1.3333333333333333</v>
      </c>
      <c r="J7" s="106"/>
      <c r="K7" s="107">
        <v>16500000</v>
      </c>
      <c r="L7" s="107">
        <v>11567000</v>
      </c>
      <c r="M7" s="107">
        <v>11896000</v>
      </c>
      <c r="N7" s="108">
        <f>K7</f>
        <v>16500000</v>
      </c>
      <c r="O7" s="109">
        <v>16500000</v>
      </c>
      <c r="P7" s="109">
        <f>10928000+547000+25000</f>
        <v>11500000</v>
      </c>
      <c r="Q7" s="109">
        <v>6600000</v>
      </c>
      <c r="R7" s="107">
        <f>17000000</f>
        <v>17000000</v>
      </c>
      <c r="S7" s="107">
        <v>17000000</v>
      </c>
      <c r="T7" s="107">
        <f>Q7+P7</f>
        <v>18100000</v>
      </c>
      <c r="U7" s="107">
        <f>S7</f>
        <v>17000000</v>
      </c>
      <c r="V7" s="107">
        <v>7798367</v>
      </c>
      <c r="W7" s="107">
        <f>V7*2+1000000</f>
        <v>16596734</v>
      </c>
      <c r="X7" s="110">
        <f>U7</f>
        <v>17000000</v>
      </c>
      <c r="Y7" s="107">
        <f>1064430+55342+13185581</f>
        <v>14305353</v>
      </c>
      <c r="Z7" s="107">
        <f>Y7*12/10</f>
        <v>17166423.600000001</v>
      </c>
      <c r="AA7" s="110">
        <v>18000000</v>
      </c>
      <c r="AB7" s="110">
        <f>15878747+139160</f>
        <v>16017907</v>
      </c>
      <c r="AC7" s="110">
        <v>20000000</v>
      </c>
      <c r="AD7" s="108">
        <v>21500000</v>
      </c>
      <c r="AE7" s="111">
        <v>21000000</v>
      </c>
      <c r="AF7" s="111">
        <v>22000000</v>
      </c>
      <c r="AG7" s="24"/>
      <c r="AH7" s="24"/>
      <c r="AI7" s="24"/>
      <c r="AJ7" s="22"/>
      <c r="AK7" s="23"/>
      <c r="AL7" s="24"/>
      <c r="AM7" s="24"/>
      <c r="AN7" s="24"/>
      <c r="AO7" s="24"/>
      <c r="AP7" s="23"/>
      <c r="AQ7" s="24"/>
      <c r="AR7" s="24"/>
      <c r="AS7" s="24"/>
      <c r="AT7" s="24"/>
      <c r="AU7" s="16"/>
      <c r="AV7" s="22"/>
      <c r="AW7" s="22"/>
      <c r="AX7" s="23"/>
      <c r="AY7" s="23"/>
      <c r="AZ7" s="23"/>
      <c r="BA7" s="24"/>
      <c r="BB7" s="22"/>
      <c r="BC7" s="23"/>
      <c r="BD7" s="24"/>
      <c r="BE7" s="24"/>
      <c r="BF7" s="24"/>
      <c r="BG7" s="22"/>
      <c r="BH7" s="23"/>
      <c r="BI7" s="24"/>
      <c r="BJ7" s="24"/>
      <c r="BK7" s="28"/>
      <c r="BL7" s="29"/>
      <c r="BM7" s="16"/>
      <c r="BN7" s="30"/>
      <c r="BO7" s="30"/>
      <c r="BP7" s="30"/>
      <c r="BQ7" s="22"/>
      <c r="BR7" s="23"/>
      <c r="BS7" s="24"/>
      <c r="BT7" s="24"/>
      <c r="BU7" s="24"/>
      <c r="BV7" s="22"/>
      <c r="BW7" s="23"/>
      <c r="BX7" s="24"/>
      <c r="BY7" s="24"/>
      <c r="BZ7" s="24"/>
      <c r="CA7" s="22"/>
      <c r="CB7" s="23"/>
      <c r="CC7" s="24"/>
      <c r="CD7" s="24"/>
      <c r="CE7" s="24"/>
      <c r="CF7" s="27"/>
      <c r="CG7" s="23"/>
      <c r="CH7" s="24"/>
      <c r="CI7" s="24"/>
      <c r="CJ7" s="24"/>
      <c r="CK7" s="29"/>
      <c r="CL7" s="16"/>
      <c r="CM7" s="31"/>
      <c r="CN7" s="31"/>
      <c r="CO7" s="16"/>
      <c r="CP7" s="29"/>
      <c r="CQ7" s="16"/>
      <c r="CR7" s="31"/>
      <c r="CS7" s="31"/>
      <c r="CT7" s="32"/>
      <c r="CU7" s="33"/>
      <c r="CV7" s="16"/>
      <c r="CW7" s="31"/>
      <c r="CX7" s="31"/>
      <c r="CY7" s="16"/>
      <c r="CZ7" s="16"/>
      <c r="DA7" s="29"/>
      <c r="DB7" s="16"/>
      <c r="DC7" s="31"/>
      <c r="DD7" s="31"/>
      <c r="DE7" s="31"/>
      <c r="DF7" s="29"/>
      <c r="DG7" s="16"/>
      <c r="DH7" s="31"/>
      <c r="DI7" s="31"/>
      <c r="DJ7" s="31"/>
      <c r="DK7" s="29"/>
      <c r="DL7" s="16"/>
      <c r="DM7" s="31"/>
      <c r="DN7" s="31"/>
      <c r="DO7" s="31"/>
      <c r="DP7" s="29"/>
      <c r="DQ7" s="16"/>
      <c r="DR7" s="31"/>
      <c r="DS7" s="31"/>
      <c r="DT7" s="31"/>
      <c r="DU7" s="29"/>
      <c r="DV7" s="16"/>
      <c r="DW7" s="31"/>
      <c r="DX7" s="31"/>
      <c r="DY7" s="31"/>
      <c r="DZ7" s="29"/>
      <c r="EA7" s="16"/>
      <c r="EB7" s="31"/>
      <c r="EC7" s="31"/>
      <c r="ED7" s="31"/>
      <c r="EE7" s="29"/>
      <c r="EF7" s="16"/>
      <c r="EG7" s="31"/>
      <c r="EH7" s="31"/>
      <c r="EI7" s="31"/>
      <c r="EJ7" s="29"/>
      <c r="EK7" s="16"/>
      <c r="EL7" s="31"/>
      <c r="EM7" s="31"/>
      <c r="EN7" s="31"/>
      <c r="EO7" s="29"/>
      <c r="EP7" s="16"/>
      <c r="EQ7" s="31"/>
      <c r="ER7" s="31"/>
      <c r="ES7" s="31"/>
      <c r="ET7" s="29"/>
      <c r="EU7" s="16"/>
      <c r="EV7" s="31"/>
      <c r="EW7" s="31"/>
      <c r="EX7" s="31"/>
      <c r="EY7" s="29"/>
      <c r="EZ7" s="16"/>
      <c r="FA7" s="31"/>
      <c r="FB7" s="31"/>
      <c r="FC7" s="31"/>
      <c r="FD7" s="29"/>
      <c r="FE7" s="16"/>
      <c r="FF7" s="31"/>
      <c r="FG7" s="31"/>
      <c r="FH7" s="31"/>
      <c r="FI7" s="29"/>
      <c r="FJ7" s="16"/>
      <c r="FK7" s="31"/>
      <c r="FL7" s="31"/>
      <c r="FM7" s="31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2:256" ht="30" customHeight="1" x14ac:dyDescent="0.25">
      <c r="B8" s="14">
        <v>3338652</v>
      </c>
      <c r="C8" s="102">
        <v>111100.101</v>
      </c>
      <c r="D8" s="112" t="s">
        <v>285</v>
      </c>
      <c r="E8" s="104">
        <v>8000000</v>
      </c>
      <c r="F8" s="105"/>
      <c r="G8" s="104">
        <v>6467878</v>
      </c>
      <c r="H8" s="104">
        <v>5000000</v>
      </c>
      <c r="I8" s="104">
        <f t="shared" si="0"/>
        <v>1.3333333333333333</v>
      </c>
      <c r="J8" s="106"/>
      <c r="K8" s="107">
        <v>8500000</v>
      </c>
      <c r="L8" s="107">
        <v>6204000</v>
      </c>
      <c r="M8" s="107">
        <v>6159000</v>
      </c>
      <c r="N8" s="108">
        <v>7500000</v>
      </c>
      <c r="O8" s="109">
        <v>8200000</v>
      </c>
      <c r="P8" s="109">
        <v>5142000</v>
      </c>
      <c r="Q8" s="109">
        <v>4030000</v>
      </c>
      <c r="R8" s="107">
        <v>11000000</v>
      </c>
      <c r="S8" s="107">
        <v>11000000</v>
      </c>
      <c r="T8" s="107">
        <f>Q8+P8</f>
        <v>9172000</v>
      </c>
      <c r="U8" s="107">
        <f>S8</f>
        <v>11000000</v>
      </c>
      <c r="V8" s="107">
        <v>4872304</v>
      </c>
      <c r="W8" s="107">
        <f>V8*2+500000</f>
        <v>10244608</v>
      </c>
      <c r="X8" s="110">
        <f>U8</f>
        <v>11000000</v>
      </c>
      <c r="Y8" s="107">
        <v>6794108</v>
      </c>
      <c r="Z8" s="107">
        <f t="shared" ref="Z8:Z67" si="1">Y8*12/10</f>
        <v>8152929.5999999996</v>
      </c>
      <c r="AA8" s="110">
        <v>12300000</v>
      </c>
      <c r="AB8" s="110">
        <f>616114+372754+353653+580734+326189+380756+1184626+3832322</f>
        <v>7647148</v>
      </c>
      <c r="AC8" s="110">
        <f>11000000-65000</f>
        <v>10935000</v>
      </c>
      <c r="AD8" s="108">
        <v>11000000</v>
      </c>
      <c r="AE8" s="111">
        <v>11000000</v>
      </c>
      <c r="AF8" s="111">
        <v>12000000</v>
      </c>
      <c r="AG8" s="24"/>
      <c r="AH8" s="24"/>
      <c r="AI8" s="24"/>
      <c r="AJ8" s="22"/>
      <c r="AK8" s="23"/>
      <c r="AL8" s="24"/>
      <c r="AM8" s="24"/>
      <c r="AN8" s="24"/>
      <c r="AO8" s="24"/>
      <c r="AP8" s="23"/>
      <c r="AQ8" s="24"/>
      <c r="AR8" s="24"/>
      <c r="AS8" s="24"/>
      <c r="AT8" s="24"/>
      <c r="AU8" s="16"/>
      <c r="AV8" s="22"/>
      <c r="AW8" s="22"/>
      <c r="AX8" s="23"/>
      <c r="AY8" s="23"/>
      <c r="AZ8" s="23"/>
      <c r="BA8" s="24"/>
      <c r="BB8" s="22"/>
      <c r="BC8" s="23"/>
      <c r="BD8" s="24"/>
      <c r="BE8" s="24"/>
      <c r="BF8" s="24"/>
      <c r="BG8" s="22"/>
      <c r="BH8" s="23"/>
      <c r="BI8" s="24"/>
      <c r="BJ8" s="24"/>
      <c r="BK8" s="24"/>
      <c r="BL8" s="29"/>
      <c r="BM8" s="16"/>
      <c r="BN8" s="30"/>
      <c r="BO8" s="30"/>
      <c r="BP8" s="30"/>
      <c r="BQ8" s="22"/>
      <c r="BR8" s="23"/>
      <c r="BS8" s="24"/>
      <c r="BT8" s="24"/>
      <c r="BU8" s="24"/>
      <c r="BV8" s="22"/>
      <c r="BW8" s="23"/>
      <c r="BX8" s="24"/>
      <c r="BY8" s="24"/>
      <c r="BZ8" s="24"/>
      <c r="CA8" s="22"/>
      <c r="CB8" s="23"/>
      <c r="CC8" s="24"/>
      <c r="CD8" s="24"/>
      <c r="CE8" s="24"/>
      <c r="CF8" s="27"/>
      <c r="CG8" s="23"/>
      <c r="CH8" s="24"/>
      <c r="CI8" s="24"/>
      <c r="CJ8" s="24"/>
      <c r="CK8" s="29"/>
      <c r="CL8" s="16"/>
      <c r="CM8" s="31"/>
      <c r="CN8" s="31"/>
      <c r="CO8" s="31"/>
      <c r="CP8" s="29"/>
      <c r="CQ8" s="16"/>
      <c r="CR8" s="31"/>
      <c r="CS8" s="31"/>
      <c r="CT8" s="32"/>
      <c r="CU8" s="33"/>
      <c r="CV8" s="16"/>
      <c r="CW8" s="31"/>
      <c r="CX8" s="31"/>
      <c r="CY8" s="31"/>
      <c r="CZ8" s="16"/>
      <c r="DA8" s="29"/>
      <c r="DB8" s="16"/>
      <c r="DC8" s="31"/>
      <c r="DD8" s="31"/>
      <c r="DE8" s="31"/>
      <c r="DF8" s="29"/>
      <c r="DG8" s="16"/>
      <c r="DH8" s="31"/>
      <c r="DI8" s="31"/>
      <c r="DJ8" s="31"/>
      <c r="DK8" s="29"/>
      <c r="DL8" s="16"/>
      <c r="DM8" s="31"/>
      <c r="DN8" s="31"/>
      <c r="DO8" s="31"/>
      <c r="DP8" s="29"/>
      <c r="DQ8" s="16"/>
      <c r="DR8" s="31"/>
      <c r="DS8" s="31"/>
      <c r="DT8" s="31"/>
      <c r="DU8" s="29"/>
      <c r="DV8" s="16"/>
      <c r="DW8" s="31"/>
      <c r="DX8" s="31"/>
      <c r="DY8" s="31"/>
      <c r="DZ8" s="29"/>
      <c r="EA8" s="16"/>
      <c r="EB8" s="31"/>
      <c r="EC8" s="31"/>
      <c r="ED8" s="31"/>
      <c r="EE8" s="29"/>
      <c r="EF8" s="16"/>
      <c r="EG8" s="31"/>
      <c r="EH8" s="31"/>
      <c r="EI8" s="31"/>
      <c r="EJ8" s="29"/>
      <c r="EK8" s="16"/>
      <c r="EL8" s="31"/>
      <c r="EM8" s="31"/>
      <c r="EN8" s="31"/>
      <c r="EO8" s="29"/>
      <c r="EP8" s="16"/>
      <c r="EQ8" s="31"/>
      <c r="ER8" s="31"/>
      <c r="ES8" s="31"/>
      <c r="ET8" s="29"/>
      <c r="EU8" s="16"/>
      <c r="EV8" s="31"/>
      <c r="EW8" s="31"/>
      <c r="EX8" s="31"/>
      <c r="EY8" s="29"/>
      <c r="EZ8" s="16"/>
      <c r="FA8" s="31"/>
      <c r="FB8" s="31"/>
      <c r="FC8" s="31"/>
      <c r="FD8" s="29"/>
      <c r="FE8" s="16"/>
      <c r="FF8" s="31"/>
      <c r="FG8" s="31"/>
      <c r="FH8" s="31"/>
      <c r="FI8" s="29"/>
      <c r="FJ8" s="16"/>
      <c r="FK8" s="31"/>
      <c r="FL8" s="31"/>
      <c r="FM8" s="31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2:256" ht="30" customHeight="1" x14ac:dyDescent="0.25">
      <c r="B9" s="14"/>
      <c r="C9" s="113" t="s">
        <v>267</v>
      </c>
      <c r="D9" s="114" t="s">
        <v>268</v>
      </c>
      <c r="E9" s="115">
        <f>SUM(E7:E8)</f>
        <v>18600000</v>
      </c>
      <c r="F9" s="115">
        <f>SUM(F7:F8)</f>
        <v>0</v>
      </c>
      <c r="G9" s="115">
        <f>SUM(G7:G8)</f>
        <v>19918128</v>
      </c>
      <c r="H9" s="115">
        <f>SUM(H7:H8)</f>
        <v>21500000</v>
      </c>
      <c r="I9" s="104">
        <f t="shared" si="0"/>
        <v>1.3333333333333333</v>
      </c>
      <c r="J9" s="116"/>
      <c r="K9" s="117">
        <f t="shared" ref="K9:X9" si="2">SUM(K7:K8)</f>
        <v>25000000</v>
      </c>
      <c r="L9" s="117">
        <f t="shared" si="2"/>
        <v>17771000</v>
      </c>
      <c r="M9" s="117">
        <f t="shared" si="2"/>
        <v>18055000</v>
      </c>
      <c r="N9" s="117">
        <f t="shared" si="2"/>
        <v>24000000</v>
      </c>
      <c r="O9" s="118">
        <f t="shared" si="2"/>
        <v>24700000</v>
      </c>
      <c r="P9" s="118">
        <f>SUM(P7:P8)</f>
        <v>16642000</v>
      </c>
      <c r="Q9" s="118">
        <f>SUM(Q7:Q8)</f>
        <v>10630000</v>
      </c>
      <c r="R9" s="117">
        <f>SUM(R7:R8)</f>
        <v>28000000</v>
      </c>
      <c r="S9" s="117">
        <f t="shared" si="2"/>
        <v>28000000</v>
      </c>
      <c r="T9" s="117">
        <f t="shared" si="2"/>
        <v>27272000</v>
      </c>
      <c r="U9" s="117">
        <f t="shared" si="2"/>
        <v>28000000</v>
      </c>
      <c r="V9" s="117">
        <f t="shared" si="2"/>
        <v>12670671</v>
      </c>
      <c r="W9" s="117">
        <f t="shared" si="2"/>
        <v>26841342</v>
      </c>
      <c r="X9" s="117">
        <f t="shared" si="2"/>
        <v>28000000</v>
      </c>
      <c r="Y9" s="117">
        <f t="shared" ref="Y9:AF9" si="3">SUM(Y7:Y8)</f>
        <v>21099461</v>
      </c>
      <c r="Z9" s="117">
        <f t="shared" si="3"/>
        <v>25319353.200000003</v>
      </c>
      <c r="AA9" s="117">
        <f t="shared" si="3"/>
        <v>30300000</v>
      </c>
      <c r="AB9" s="117">
        <f t="shared" si="3"/>
        <v>23665055</v>
      </c>
      <c r="AC9" s="117">
        <f t="shared" si="3"/>
        <v>30935000</v>
      </c>
      <c r="AD9" s="117">
        <f t="shared" si="3"/>
        <v>32500000</v>
      </c>
      <c r="AE9" s="117">
        <f t="shared" si="3"/>
        <v>32000000</v>
      </c>
      <c r="AF9" s="117">
        <f t="shared" si="3"/>
        <v>34000000</v>
      </c>
      <c r="AG9" s="24"/>
      <c r="AH9" s="24"/>
      <c r="AI9" s="24"/>
      <c r="AJ9" s="22"/>
      <c r="AK9" s="23"/>
      <c r="AL9" s="24"/>
      <c r="AM9" s="24"/>
      <c r="AN9" s="31"/>
      <c r="AO9" s="31"/>
      <c r="AP9" s="16"/>
      <c r="AQ9" s="24"/>
      <c r="AR9" s="24"/>
      <c r="AS9" s="24"/>
      <c r="AT9" s="24"/>
      <c r="AU9" s="16"/>
      <c r="AV9" s="22"/>
      <c r="AW9" s="22"/>
      <c r="AX9" s="23"/>
      <c r="AY9" s="23"/>
      <c r="AZ9" s="23"/>
      <c r="BA9" s="24"/>
      <c r="BB9" s="22"/>
      <c r="BC9" s="23"/>
      <c r="BD9" s="24"/>
      <c r="BE9" s="24"/>
      <c r="BF9" s="24"/>
      <c r="BG9" s="22"/>
      <c r="BH9" s="23"/>
      <c r="BI9" s="24"/>
      <c r="BJ9" s="24"/>
      <c r="BK9" s="24"/>
      <c r="BL9" s="29"/>
      <c r="BM9" s="16"/>
      <c r="BN9" s="30"/>
      <c r="BO9" s="30"/>
      <c r="BP9" s="30"/>
      <c r="BQ9" s="22"/>
      <c r="BR9" s="23"/>
      <c r="BS9" s="24"/>
      <c r="BT9" s="24"/>
      <c r="BU9" s="24"/>
      <c r="BV9" s="22"/>
      <c r="BW9" s="23"/>
      <c r="BX9" s="24"/>
      <c r="BY9" s="24"/>
      <c r="BZ9" s="24"/>
      <c r="CA9" s="22"/>
      <c r="CB9" s="23"/>
      <c r="CC9" s="24"/>
      <c r="CD9" s="24"/>
      <c r="CE9" s="24"/>
      <c r="CF9" s="27"/>
      <c r="CG9" s="23"/>
      <c r="CH9" s="24"/>
      <c r="CI9" s="24"/>
      <c r="CJ9" s="24"/>
      <c r="CK9" s="29"/>
      <c r="CL9" s="16"/>
      <c r="CM9" s="31"/>
      <c r="CN9" s="31"/>
      <c r="CO9" s="31"/>
      <c r="CP9" s="29"/>
      <c r="CQ9" s="16"/>
      <c r="CR9" s="31"/>
      <c r="CS9" s="31"/>
      <c r="CT9" s="32"/>
      <c r="CU9" s="33"/>
      <c r="CV9" s="16"/>
      <c r="CW9" s="31"/>
      <c r="CX9" s="31"/>
      <c r="CY9" s="31"/>
      <c r="CZ9" s="16"/>
      <c r="DA9" s="29"/>
      <c r="DB9" s="16"/>
      <c r="DC9" s="31"/>
      <c r="DD9" s="31"/>
      <c r="DE9" s="31"/>
      <c r="DF9" s="29"/>
      <c r="DG9" s="16"/>
      <c r="DH9" s="31"/>
      <c r="DI9" s="31"/>
      <c r="DJ9" s="31"/>
      <c r="DK9" s="29"/>
      <c r="DL9" s="16"/>
      <c r="DM9" s="31"/>
      <c r="DN9" s="31"/>
      <c r="DO9" s="31"/>
      <c r="DP9" s="29"/>
      <c r="DQ9" s="16"/>
      <c r="DR9" s="31"/>
      <c r="DS9" s="31"/>
      <c r="DT9" s="31"/>
      <c r="DU9" s="29"/>
      <c r="DV9" s="16"/>
      <c r="DW9" s="31"/>
      <c r="DX9" s="31"/>
      <c r="DY9" s="31"/>
      <c r="DZ9" s="29"/>
      <c r="EA9" s="16"/>
      <c r="EB9" s="31"/>
      <c r="EC9" s="31"/>
      <c r="ED9" s="31"/>
      <c r="EE9" s="29"/>
      <c r="EF9" s="16"/>
      <c r="EG9" s="31"/>
      <c r="EH9" s="31"/>
      <c r="EI9" s="31"/>
      <c r="EJ9" s="29"/>
      <c r="EK9" s="16"/>
      <c r="EL9" s="31"/>
      <c r="EM9" s="31"/>
      <c r="EN9" s="31"/>
      <c r="EO9" s="29"/>
      <c r="EP9" s="16"/>
      <c r="EQ9" s="31"/>
      <c r="ER9" s="31"/>
      <c r="ES9" s="31"/>
      <c r="ET9" s="29"/>
      <c r="EU9" s="16"/>
      <c r="EV9" s="31"/>
      <c r="EW9" s="31"/>
      <c r="EX9" s="31"/>
      <c r="EY9" s="29"/>
      <c r="EZ9" s="16"/>
      <c r="FA9" s="31"/>
      <c r="FB9" s="31"/>
      <c r="FC9" s="31"/>
      <c r="FD9" s="29"/>
      <c r="FE9" s="16"/>
      <c r="FF9" s="31"/>
      <c r="FG9" s="31"/>
      <c r="FH9" s="31"/>
      <c r="FI9" s="29"/>
      <c r="FJ9" s="16"/>
      <c r="FK9" s="31"/>
      <c r="FL9" s="31"/>
      <c r="FM9" s="31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2:256" ht="30" customHeight="1" x14ac:dyDescent="0.25">
      <c r="B10" s="14"/>
      <c r="C10" s="102"/>
      <c r="D10" s="103"/>
      <c r="E10" s="104"/>
      <c r="F10" s="105"/>
      <c r="G10" s="104"/>
      <c r="H10" s="104"/>
      <c r="I10" s="104">
        <f t="shared" si="0"/>
        <v>1.3333333333333333</v>
      </c>
      <c r="J10" s="116"/>
      <c r="K10" s="107"/>
      <c r="L10" s="107"/>
      <c r="M10" s="107"/>
      <c r="N10" s="108"/>
      <c r="O10" s="109"/>
      <c r="P10" s="109"/>
      <c r="Q10" s="109"/>
      <c r="R10" s="107"/>
      <c r="S10" s="107"/>
      <c r="T10" s="107"/>
      <c r="U10" s="107"/>
      <c r="V10" s="107"/>
      <c r="W10" s="107"/>
      <c r="X10" s="110"/>
      <c r="Y10" s="107"/>
      <c r="Z10" s="107">
        <f t="shared" si="1"/>
        <v>0</v>
      </c>
      <c r="AA10" s="110"/>
      <c r="AB10" s="110"/>
      <c r="AC10" s="110"/>
      <c r="AD10" s="110"/>
      <c r="AE10" s="119"/>
      <c r="AF10" s="119"/>
      <c r="AG10" s="24"/>
      <c r="AH10" s="24"/>
      <c r="AI10" s="24"/>
      <c r="AJ10" s="22"/>
      <c r="AK10" s="23"/>
      <c r="AL10" s="24"/>
      <c r="AM10" s="24"/>
      <c r="AN10" s="24"/>
      <c r="AO10" s="24"/>
      <c r="AP10" s="23"/>
      <c r="AQ10" s="24"/>
      <c r="AR10" s="24"/>
      <c r="AS10" s="24"/>
      <c r="AT10" s="24"/>
      <c r="AU10" s="16"/>
      <c r="AV10" s="22"/>
      <c r="AW10" s="22"/>
      <c r="AX10" s="25"/>
      <c r="AY10" s="25"/>
      <c r="AZ10" s="25"/>
      <c r="BA10" s="24"/>
      <c r="BB10" s="22"/>
      <c r="BC10" s="23"/>
      <c r="BD10" s="24"/>
      <c r="BE10" s="24"/>
      <c r="BF10" s="24"/>
      <c r="BG10" s="22"/>
      <c r="BH10" s="23"/>
      <c r="BI10" s="24"/>
      <c r="BJ10" s="24"/>
      <c r="BK10" s="24"/>
      <c r="BL10" s="29"/>
      <c r="BM10" s="16"/>
      <c r="BN10" s="30"/>
      <c r="BO10" s="30"/>
      <c r="BP10" s="30"/>
      <c r="BQ10" s="22"/>
      <c r="BR10" s="23"/>
      <c r="BS10" s="24"/>
      <c r="BT10" s="24"/>
      <c r="BU10" s="24"/>
      <c r="BV10" s="22"/>
      <c r="BW10" s="23"/>
      <c r="BX10" s="24"/>
      <c r="BY10" s="24"/>
      <c r="BZ10" s="24"/>
      <c r="CA10" s="22"/>
      <c r="CB10" s="23"/>
      <c r="CC10" s="24"/>
      <c r="CD10" s="24"/>
      <c r="CE10" s="24"/>
      <c r="CF10" s="27"/>
      <c r="CG10" s="23"/>
      <c r="CH10" s="24"/>
      <c r="CI10" s="24"/>
      <c r="CJ10" s="24"/>
      <c r="CK10" s="29"/>
      <c r="CL10" s="16"/>
      <c r="CM10" s="31"/>
      <c r="CN10" s="31"/>
      <c r="CO10" s="31"/>
      <c r="CP10" s="29"/>
      <c r="CQ10" s="16"/>
      <c r="CR10" s="31"/>
      <c r="CS10" s="31"/>
      <c r="CT10" s="32"/>
      <c r="CU10" s="33"/>
      <c r="CV10" s="16"/>
      <c r="CW10" s="31"/>
      <c r="CX10" s="31"/>
      <c r="CY10" s="31"/>
      <c r="CZ10" s="16"/>
      <c r="DA10" s="29"/>
      <c r="DB10" s="16"/>
      <c r="DC10" s="31"/>
      <c r="DD10" s="31"/>
      <c r="DE10" s="31"/>
      <c r="DF10" s="29"/>
      <c r="DG10" s="16"/>
      <c r="DH10" s="31"/>
      <c r="DI10" s="31"/>
      <c r="DJ10" s="31"/>
      <c r="DK10" s="29"/>
      <c r="DL10" s="16"/>
      <c r="DM10" s="31"/>
      <c r="DN10" s="31"/>
      <c r="DO10" s="31"/>
      <c r="DP10" s="29"/>
      <c r="DQ10" s="16"/>
      <c r="DR10" s="31"/>
      <c r="DS10" s="31"/>
      <c r="DT10" s="31"/>
      <c r="DU10" s="29"/>
      <c r="DV10" s="16"/>
      <c r="DW10" s="31"/>
      <c r="DX10" s="31"/>
      <c r="DY10" s="31"/>
      <c r="DZ10" s="29"/>
      <c r="EA10" s="16"/>
      <c r="EB10" s="31"/>
      <c r="EC10" s="31"/>
      <c r="ED10" s="31"/>
      <c r="EE10" s="29"/>
      <c r="EF10" s="16"/>
      <c r="EG10" s="31"/>
      <c r="EH10" s="31"/>
      <c r="EI10" s="31"/>
      <c r="EJ10" s="29"/>
      <c r="EK10" s="16"/>
      <c r="EL10" s="31"/>
      <c r="EM10" s="31"/>
      <c r="EN10" s="31"/>
      <c r="EO10" s="29"/>
      <c r="EP10" s="16"/>
      <c r="EQ10" s="31"/>
      <c r="ER10" s="31"/>
      <c r="ES10" s="31"/>
      <c r="ET10" s="29"/>
      <c r="EU10" s="16"/>
      <c r="EV10" s="31"/>
      <c r="EW10" s="31"/>
      <c r="EX10" s="31"/>
      <c r="EY10" s="29"/>
      <c r="EZ10" s="16"/>
      <c r="FA10" s="31"/>
      <c r="FB10" s="31"/>
      <c r="FC10" s="31"/>
      <c r="FD10" s="29"/>
      <c r="FE10" s="16"/>
      <c r="FF10" s="31"/>
      <c r="FG10" s="31"/>
      <c r="FH10" s="31"/>
      <c r="FI10" s="29"/>
      <c r="FJ10" s="16"/>
      <c r="FK10" s="31"/>
      <c r="FL10" s="31"/>
      <c r="FM10" s="31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</row>
    <row r="11" spans="2:256" ht="30" customHeight="1" x14ac:dyDescent="0.25">
      <c r="B11" s="14"/>
      <c r="C11" s="102">
        <v>115000.1</v>
      </c>
      <c r="D11" s="103" t="s">
        <v>288</v>
      </c>
      <c r="E11" s="104">
        <v>9000000</v>
      </c>
      <c r="F11" s="105"/>
      <c r="G11" s="104">
        <v>7864000</v>
      </c>
      <c r="H11" s="104">
        <v>7000000</v>
      </c>
      <c r="I11" s="104">
        <f t="shared" si="0"/>
        <v>1.3333333333333333</v>
      </c>
      <c r="J11" s="116"/>
      <c r="K11" s="107">
        <v>7000000</v>
      </c>
      <c r="L11" s="107">
        <f>4433000-554125</f>
        <v>3878875</v>
      </c>
      <c r="M11" s="107">
        <f>5041247-918000</f>
        <v>4123247</v>
      </c>
      <c r="N11" s="108">
        <f>K11</f>
        <v>7000000</v>
      </c>
      <c r="O11" s="109">
        <v>6000000</v>
      </c>
      <c r="P11" s="109">
        <v>4664000</v>
      </c>
      <c r="Q11" s="109">
        <f>6000000-4664000</f>
        <v>1336000</v>
      </c>
      <c r="R11" s="107">
        <v>6800000</v>
      </c>
      <c r="S11" s="107">
        <v>6800000</v>
      </c>
      <c r="T11" s="107">
        <f>Q11+P11</f>
        <v>6000000</v>
      </c>
      <c r="U11" s="107">
        <f>S11</f>
        <v>6800000</v>
      </c>
      <c r="V11" s="107">
        <f>5308368-V12</f>
        <v>4708608</v>
      </c>
      <c r="W11" s="107">
        <f>V11*2-1500000</f>
        <v>7917216</v>
      </c>
      <c r="X11" s="110">
        <v>8000000</v>
      </c>
      <c r="Y11" s="107">
        <v>7335314</v>
      </c>
      <c r="Z11" s="107">
        <f t="shared" si="1"/>
        <v>8802376.8000000007</v>
      </c>
      <c r="AA11" s="110">
        <v>9500000</v>
      </c>
      <c r="AB11" s="110">
        <v>7981323</v>
      </c>
      <c r="AC11" s="110">
        <v>9600000</v>
      </c>
      <c r="AD11" s="108">
        <f>AC11</f>
        <v>9600000</v>
      </c>
      <c r="AE11" s="111">
        <v>10000000</v>
      </c>
      <c r="AF11" s="111">
        <v>10000000</v>
      </c>
      <c r="AG11" s="24"/>
      <c r="AH11" s="24"/>
      <c r="AI11" s="24"/>
      <c r="AJ11" s="22"/>
      <c r="AK11" s="23"/>
      <c r="AL11" s="24"/>
      <c r="AM11" s="24"/>
      <c r="AN11" s="24"/>
      <c r="AO11" s="24"/>
      <c r="AP11" s="23"/>
      <c r="AQ11" s="24"/>
      <c r="AR11" s="24"/>
      <c r="AS11" s="24"/>
      <c r="AT11" s="24"/>
      <c r="AU11" s="16"/>
      <c r="AV11" s="22"/>
      <c r="AW11" s="22"/>
      <c r="AX11" s="25"/>
      <c r="AY11" s="25"/>
      <c r="AZ11" s="25"/>
      <c r="BA11" s="24"/>
      <c r="BB11" s="22"/>
      <c r="BC11" s="23"/>
      <c r="BD11" s="24"/>
      <c r="BE11" s="24"/>
      <c r="BF11" s="24"/>
      <c r="BG11" s="22"/>
      <c r="BH11" s="23"/>
      <c r="BI11" s="24"/>
      <c r="BJ11" s="24"/>
      <c r="BK11" s="24"/>
      <c r="BL11" s="29"/>
      <c r="BM11" s="16"/>
      <c r="BN11" s="30"/>
      <c r="BO11" s="30"/>
      <c r="BP11" s="30"/>
      <c r="BQ11" s="22"/>
      <c r="BR11" s="23"/>
      <c r="BS11" s="24"/>
      <c r="BT11" s="24"/>
      <c r="BU11" s="24"/>
      <c r="BV11" s="22"/>
      <c r="BW11" s="23"/>
      <c r="BX11" s="24"/>
      <c r="BY11" s="24"/>
      <c r="BZ11" s="24"/>
      <c r="CA11" s="22"/>
      <c r="CB11" s="23"/>
      <c r="CC11" s="24"/>
      <c r="CD11" s="24"/>
      <c r="CE11" s="24"/>
      <c r="CF11" s="27"/>
      <c r="CG11" s="23"/>
      <c r="CH11" s="24"/>
      <c r="CI11" s="24"/>
      <c r="CJ11" s="24"/>
      <c r="CK11" s="29"/>
      <c r="CL11" s="16"/>
      <c r="CM11" s="31"/>
      <c r="CN11" s="31"/>
      <c r="CO11" s="31"/>
      <c r="CP11" s="29"/>
      <c r="CQ11" s="16"/>
      <c r="CR11" s="31"/>
      <c r="CS11" s="31"/>
      <c r="CT11" s="32"/>
      <c r="CU11" s="33"/>
      <c r="CV11" s="16"/>
      <c r="CW11" s="31"/>
      <c r="CX11" s="31"/>
      <c r="CY11" s="31"/>
      <c r="CZ11" s="16"/>
      <c r="DA11" s="29"/>
      <c r="DB11" s="16"/>
      <c r="DC11" s="31"/>
      <c r="DD11" s="31"/>
      <c r="DE11" s="31"/>
      <c r="DF11" s="29"/>
      <c r="DG11" s="16"/>
      <c r="DH11" s="31"/>
      <c r="DI11" s="31"/>
      <c r="DJ11" s="31"/>
      <c r="DK11" s="29"/>
      <c r="DL11" s="16"/>
      <c r="DM11" s="31"/>
      <c r="DN11" s="31"/>
      <c r="DO11" s="31"/>
      <c r="DP11" s="29"/>
      <c r="DQ11" s="16"/>
      <c r="DR11" s="31"/>
      <c r="DS11" s="31"/>
      <c r="DT11" s="31"/>
      <c r="DU11" s="29"/>
      <c r="DV11" s="16"/>
      <c r="DW11" s="31"/>
      <c r="DX11" s="31"/>
      <c r="DY11" s="31"/>
      <c r="DZ11" s="29"/>
      <c r="EA11" s="16"/>
      <c r="EB11" s="31"/>
      <c r="EC11" s="31"/>
      <c r="ED11" s="31"/>
      <c r="EE11" s="29"/>
      <c r="EF11" s="16"/>
      <c r="EG11" s="31"/>
      <c r="EH11" s="31"/>
      <c r="EI11" s="31"/>
      <c r="EJ11" s="29"/>
      <c r="EK11" s="16"/>
      <c r="EL11" s="31"/>
      <c r="EM11" s="31"/>
      <c r="EN11" s="31"/>
      <c r="EO11" s="29"/>
      <c r="EP11" s="16"/>
      <c r="EQ11" s="31"/>
      <c r="ER11" s="31"/>
      <c r="ES11" s="31"/>
      <c r="ET11" s="29"/>
      <c r="EU11" s="16"/>
      <c r="EV11" s="31"/>
      <c r="EW11" s="31"/>
      <c r="EX11" s="31"/>
      <c r="EY11" s="29"/>
      <c r="EZ11" s="16"/>
      <c r="FA11" s="31"/>
      <c r="FB11" s="31"/>
      <c r="FC11" s="31"/>
      <c r="FD11" s="29"/>
      <c r="FE11" s="16"/>
      <c r="FF11" s="31"/>
      <c r="FG11" s="31"/>
      <c r="FH11" s="31"/>
      <c r="FI11" s="29"/>
      <c r="FJ11" s="16"/>
      <c r="FK11" s="31"/>
      <c r="FL11" s="31"/>
      <c r="FM11" s="31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</row>
    <row r="12" spans="2:256" ht="30" customHeight="1" x14ac:dyDescent="0.25">
      <c r="B12" s="14"/>
      <c r="C12" s="102">
        <v>116000.1</v>
      </c>
      <c r="D12" s="103" t="s">
        <v>289</v>
      </c>
      <c r="E12" s="104">
        <v>1000000</v>
      </c>
      <c r="F12" s="105"/>
      <c r="G12" s="104">
        <v>0</v>
      </c>
      <c r="H12" s="104">
        <v>1000000</v>
      </c>
      <c r="I12" s="104">
        <f t="shared" si="0"/>
        <v>1.3333333333333333</v>
      </c>
      <c r="J12" s="106"/>
      <c r="K12" s="107">
        <v>1000000</v>
      </c>
      <c r="L12" s="107">
        <f>4433000*1/8</f>
        <v>554125</v>
      </c>
      <c r="M12" s="107">
        <v>918000</v>
      </c>
      <c r="N12" s="108">
        <f>K12</f>
        <v>1000000</v>
      </c>
      <c r="O12" s="109">
        <v>1200000</v>
      </c>
      <c r="P12" s="109">
        <v>0</v>
      </c>
      <c r="Q12" s="109">
        <v>1200000</v>
      </c>
      <c r="R12" s="107">
        <v>1200000</v>
      </c>
      <c r="S12" s="107">
        <f>Q12+P12</f>
        <v>1200000</v>
      </c>
      <c r="T12" s="107">
        <f>Q12+P12</f>
        <v>1200000</v>
      </c>
      <c r="U12" s="107">
        <f>S12</f>
        <v>1200000</v>
      </c>
      <c r="V12" s="107">
        <v>599760</v>
      </c>
      <c r="W12" s="107">
        <f>V12*2</f>
        <v>1199520</v>
      </c>
      <c r="X12" s="110">
        <f>U12</f>
        <v>1200000</v>
      </c>
      <c r="Y12" s="107">
        <v>1000000</v>
      </c>
      <c r="Z12" s="107">
        <f t="shared" si="1"/>
        <v>1200000</v>
      </c>
      <c r="AA12" s="110"/>
      <c r="AB12" s="110"/>
      <c r="AC12" s="110"/>
      <c r="AD12" s="108"/>
      <c r="AE12" s="120"/>
      <c r="AF12" s="120"/>
      <c r="AG12" s="31"/>
      <c r="AH12" s="31"/>
      <c r="AI12" s="31"/>
      <c r="AJ12" s="29"/>
      <c r="AK12" s="16"/>
      <c r="AL12" s="24"/>
      <c r="AM12" s="24"/>
      <c r="AN12" s="31"/>
      <c r="AO12" s="31"/>
      <c r="AP12" s="34"/>
      <c r="AQ12" s="26"/>
      <c r="AR12" s="26"/>
      <c r="AS12" s="24"/>
      <c r="AT12" s="24"/>
      <c r="AU12" s="16"/>
      <c r="AV12" s="29"/>
      <c r="AW12" s="29"/>
      <c r="AX12" s="16"/>
      <c r="AY12" s="16"/>
      <c r="AZ12" s="16"/>
      <c r="BA12" s="31"/>
      <c r="BB12" s="29"/>
      <c r="BC12" s="16"/>
      <c r="BD12" s="24"/>
      <c r="BE12" s="24"/>
      <c r="BF12" s="24"/>
      <c r="BG12" s="29"/>
      <c r="BH12" s="16"/>
      <c r="BI12" s="31"/>
      <c r="BJ12" s="24"/>
      <c r="BK12" s="31"/>
      <c r="BL12" s="29"/>
      <c r="BM12" s="16"/>
      <c r="BN12" s="30"/>
      <c r="BO12" s="30"/>
      <c r="BP12" s="30"/>
      <c r="BQ12" s="29"/>
      <c r="BR12" s="16"/>
      <c r="BS12" s="31"/>
      <c r="BT12" s="24"/>
      <c r="BU12" s="31"/>
      <c r="BV12" s="29"/>
      <c r="BW12" s="16"/>
      <c r="BX12" s="31"/>
      <c r="BY12" s="24"/>
      <c r="BZ12" s="31"/>
      <c r="CA12" s="29"/>
      <c r="CB12" s="16"/>
      <c r="CC12" s="31"/>
      <c r="CD12" s="24"/>
      <c r="CE12" s="31"/>
      <c r="CF12" s="33"/>
      <c r="CG12" s="16"/>
      <c r="CH12" s="31"/>
      <c r="CI12" s="24"/>
      <c r="CJ12" s="31"/>
      <c r="CK12" s="29"/>
      <c r="CL12" s="16"/>
      <c r="CM12" s="31"/>
      <c r="CN12" s="31"/>
      <c r="CO12" s="31"/>
      <c r="CP12" s="29"/>
      <c r="CQ12" s="16"/>
      <c r="CR12" s="31"/>
      <c r="CS12" s="31"/>
      <c r="CT12" s="32"/>
      <c r="CU12" s="33"/>
      <c r="CV12" s="16"/>
      <c r="CW12" s="31"/>
      <c r="CX12" s="31"/>
      <c r="CY12" s="31"/>
      <c r="CZ12" s="16"/>
      <c r="DA12" s="29"/>
      <c r="DB12" s="16"/>
      <c r="DC12" s="31"/>
      <c r="DD12" s="31"/>
      <c r="DE12" s="31"/>
      <c r="DF12" s="29"/>
      <c r="DG12" s="16"/>
      <c r="DH12" s="31"/>
      <c r="DI12" s="31"/>
      <c r="DJ12" s="31"/>
      <c r="DK12" s="29"/>
      <c r="DL12" s="16"/>
      <c r="DM12" s="31"/>
      <c r="DN12" s="31"/>
      <c r="DO12" s="31"/>
      <c r="DP12" s="29"/>
      <c r="DQ12" s="16"/>
      <c r="DR12" s="31"/>
      <c r="DS12" s="31"/>
      <c r="DT12" s="31"/>
      <c r="DU12" s="29"/>
      <c r="DV12" s="16"/>
      <c r="DW12" s="31"/>
      <c r="DX12" s="31"/>
      <c r="DY12" s="31"/>
      <c r="DZ12" s="29"/>
      <c r="EA12" s="16"/>
      <c r="EB12" s="31"/>
      <c r="EC12" s="31"/>
      <c r="ED12" s="31"/>
      <c r="EE12" s="29"/>
      <c r="EF12" s="16"/>
      <c r="EG12" s="31"/>
      <c r="EH12" s="31"/>
      <c r="EI12" s="31"/>
      <c r="EJ12" s="29"/>
      <c r="EK12" s="16"/>
      <c r="EL12" s="31"/>
      <c r="EM12" s="31"/>
      <c r="EN12" s="31"/>
      <c r="EO12" s="29"/>
      <c r="EP12" s="16"/>
      <c r="EQ12" s="31"/>
      <c r="ER12" s="31"/>
      <c r="ES12" s="31"/>
      <c r="ET12" s="29"/>
      <c r="EU12" s="16"/>
      <c r="EV12" s="31"/>
      <c r="EW12" s="31"/>
      <c r="EX12" s="31"/>
      <c r="EY12" s="29"/>
      <c r="EZ12" s="16"/>
      <c r="FA12" s="31"/>
      <c r="FB12" s="31"/>
      <c r="FC12" s="31"/>
      <c r="FD12" s="29"/>
      <c r="FE12" s="16"/>
      <c r="FF12" s="31"/>
      <c r="FG12" s="31"/>
      <c r="FH12" s="31"/>
      <c r="FI12" s="29"/>
      <c r="FJ12" s="16"/>
      <c r="FK12" s="31"/>
      <c r="FL12" s="31"/>
      <c r="FM12" s="31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</row>
    <row r="13" spans="2:256" ht="30" customHeight="1" x14ac:dyDescent="0.25">
      <c r="B13" s="14"/>
      <c r="C13" s="113" t="s">
        <v>269</v>
      </c>
      <c r="D13" s="114" t="s">
        <v>270</v>
      </c>
      <c r="E13" s="115">
        <f>SUM(E11:E12)</f>
        <v>10000000</v>
      </c>
      <c r="F13" s="115">
        <f>SUM(F11:F12)</f>
        <v>0</v>
      </c>
      <c r="G13" s="115">
        <f>SUM(G11:G12)</f>
        <v>7864000</v>
      </c>
      <c r="H13" s="115">
        <f>SUM(H11:H12)</f>
        <v>8000000</v>
      </c>
      <c r="I13" s="104">
        <f t="shared" si="0"/>
        <v>1.3333333333333333</v>
      </c>
      <c r="J13" s="116"/>
      <c r="K13" s="117">
        <f t="shared" ref="K13:X13" si="4">SUM(K11:K12)</f>
        <v>8000000</v>
      </c>
      <c r="L13" s="117">
        <f t="shared" si="4"/>
        <v>4433000</v>
      </c>
      <c r="M13" s="117">
        <f t="shared" si="4"/>
        <v>5041247</v>
      </c>
      <c r="N13" s="117">
        <f t="shared" si="4"/>
        <v>8000000</v>
      </c>
      <c r="O13" s="118">
        <f t="shared" si="4"/>
        <v>7200000</v>
      </c>
      <c r="P13" s="118">
        <f t="shared" si="4"/>
        <v>4664000</v>
      </c>
      <c r="Q13" s="118">
        <f t="shared" si="4"/>
        <v>2536000</v>
      </c>
      <c r="R13" s="117">
        <f t="shared" si="4"/>
        <v>8000000</v>
      </c>
      <c r="S13" s="117">
        <f t="shared" si="4"/>
        <v>8000000</v>
      </c>
      <c r="T13" s="117">
        <f t="shared" si="4"/>
        <v>7200000</v>
      </c>
      <c r="U13" s="117">
        <f t="shared" si="4"/>
        <v>8000000</v>
      </c>
      <c r="V13" s="117">
        <f t="shared" si="4"/>
        <v>5308368</v>
      </c>
      <c r="W13" s="117">
        <f t="shared" si="4"/>
        <v>9116736</v>
      </c>
      <c r="X13" s="117">
        <f t="shared" si="4"/>
        <v>9200000</v>
      </c>
      <c r="Y13" s="117">
        <f t="shared" ref="Y13:AF13" si="5">SUM(Y11:Y12)</f>
        <v>8335314</v>
      </c>
      <c r="Z13" s="117">
        <f t="shared" si="5"/>
        <v>10002376.800000001</v>
      </c>
      <c r="AA13" s="117">
        <f t="shared" si="5"/>
        <v>9500000</v>
      </c>
      <c r="AB13" s="117">
        <f t="shared" si="5"/>
        <v>7981323</v>
      </c>
      <c r="AC13" s="117">
        <f t="shared" si="5"/>
        <v>9600000</v>
      </c>
      <c r="AD13" s="117">
        <f t="shared" si="5"/>
        <v>9600000</v>
      </c>
      <c r="AE13" s="117">
        <f t="shared" si="5"/>
        <v>10000000</v>
      </c>
      <c r="AF13" s="117">
        <f t="shared" si="5"/>
        <v>10000000</v>
      </c>
      <c r="AG13" s="24"/>
      <c r="AH13" s="24"/>
      <c r="AI13" s="24"/>
      <c r="AJ13" s="22"/>
      <c r="AK13" s="23"/>
      <c r="AL13" s="24"/>
      <c r="AM13" s="24"/>
      <c r="AN13" s="24"/>
      <c r="AO13" s="24"/>
      <c r="AP13" s="23"/>
      <c r="AQ13" s="24"/>
      <c r="AR13" s="24"/>
      <c r="AS13" s="24"/>
      <c r="AT13" s="24"/>
      <c r="AU13" s="16"/>
      <c r="AV13" s="22"/>
      <c r="AW13" s="22"/>
      <c r="AX13" s="23"/>
      <c r="AY13" s="23"/>
      <c r="AZ13" s="23"/>
      <c r="BA13" s="24"/>
      <c r="BB13" s="22"/>
      <c r="BC13" s="23"/>
      <c r="BD13" s="24"/>
      <c r="BE13" s="24"/>
      <c r="BF13" s="24"/>
      <c r="BG13" s="22"/>
      <c r="BH13" s="23"/>
      <c r="BI13" s="24"/>
      <c r="BJ13" s="24"/>
      <c r="BK13" s="24"/>
      <c r="BL13" s="29"/>
      <c r="BM13" s="16"/>
      <c r="BN13" s="30"/>
      <c r="BO13" s="30"/>
      <c r="BP13" s="30"/>
      <c r="BQ13" s="22"/>
      <c r="BR13" s="23"/>
      <c r="BS13" s="24"/>
      <c r="BT13" s="24"/>
      <c r="BU13" s="24"/>
      <c r="BV13" s="22"/>
      <c r="BW13" s="23"/>
      <c r="BX13" s="24"/>
      <c r="BY13" s="24"/>
      <c r="BZ13" s="24"/>
      <c r="CA13" s="22"/>
      <c r="CB13" s="23"/>
      <c r="CC13" s="24"/>
      <c r="CD13" s="24"/>
      <c r="CE13" s="24"/>
      <c r="CF13" s="27"/>
      <c r="CG13" s="23"/>
      <c r="CH13" s="24"/>
      <c r="CI13" s="24"/>
      <c r="CJ13" s="24"/>
      <c r="CK13" s="29"/>
      <c r="CL13" s="16"/>
      <c r="CM13" s="31"/>
      <c r="CN13" s="31"/>
      <c r="CO13" s="31"/>
      <c r="CP13" s="29"/>
      <c r="CQ13" s="16"/>
      <c r="CR13" s="31"/>
      <c r="CS13" s="31"/>
      <c r="CT13" s="32"/>
      <c r="CU13" s="33"/>
      <c r="CV13" s="16"/>
      <c r="CW13" s="31"/>
      <c r="CX13" s="31"/>
      <c r="CY13" s="31"/>
      <c r="CZ13" s="16"/>
      <c r="DA13" s="29"/>
      <c r="DB13" s="16"/>
      <c r="DC13" s="31"/>
      <c r="DD13" s="31"/>
      <c r="DE13" s="31"/>
      <c r="DF13" s="29"/>
      <c r="DG13" s="16"/>
      <c r="DH13" s="31"/>
      <c r="DI13" s="31"/>
      <c r="DJ13" s="31"/>
      <c r="DK13" s="29"/>
      <c r="DL13" s="16"/>
      <c r="DM13" s="31"/>
      <c r="DN13" s="31"/>
      <c r="DO13" s="31"/>
      <c r="DP13" s="29"/>
      <c r="DQ13" s="16"/>
      <c r="DR13" s="31"/>
      <c r="DS13" s="31"/>
      <c r="DT13" s="31"/>
      <c r="DU13" s="29"/>
      <c r="DV13" s="16"/>
      <c r="DW13" s="31"/>
      <c r="DX13" s="31"/>
      <c r="DY13" s="31"/>
      <c r="DZ13" s="29"/>
      <c r="EA13" s="16"/>
      <c r="EB13" s="31"/>
      <c r="EC13" s="31"/>
      <c r="ED13" s="31"/>
      <c r="EE13" s="29"/>
      <c r="EF13" s="16"/>
      <c r="EG13" s="31"/>
      <c r="EH13" s="31"/>
      <c r="EI13" s="31"/>
      <c r="EJ13" s="29"/>
      <c r="EK13" s="16"/>
      <c r="EL13" s="31"/>
      <c r="EM13" s="31"/>
      <c r="EN13" s="31"/>
      <c r="EO13" s="29"/>
      <c r="EP13" s="16"/>
      <c r="EQ13" s="31"/>
      <c r="ER13" s="31"/>
      <c r="ES13" s="31"/>
      <c r="ET13" s="29"/>
      <c r="EU13" s="16"/>
      <c r="EV13" s="31"/>
      <c r="EW13" s="31"/>
      <c r="EX13" s="31"/>
      <c r="EY13" s="29"/>
      <c r="EZ13" s="16"/>
      <c r="FA13" s="31"/>
      <c r="FB13" s="31"/>
      <c r="FC13" s="31"/>
      <c r="FD13" s="29"/>
      <c r="FE13" s="16"/>
      <c r="FF13" s="31"/>
      <c r="FG13" s="31"/>
      <c r="FH13" s="31"/>
      <c r="FI13" s="29"/>
      <c r="FJ13" s="16"/>
      <c r="FK13" s="31"/>
      <c r="FL13" s="31"/>
      <c r="FM13" s="31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</row>
    <row r="14" spans="2:256" ht="30" customHeight="1" x14ac:dyDescent="0.25">
      <c r="B14" s="14"/>
      <c r="C14" s="102"/>
      <c r="D14" s="103"/>
      <c r="E14" s="104"/>
      <c r="F14" s="105"/>
      <c r="G14" s="104"/>
      <c r="H14" s="104"/>
      <c r="I14" s="104">
        <f t="shared" si="0"/>
        <v>1.3333333333333333</v>
      </c>
      <c r="J14" s="116"/>
      <c r="K14" s="107"/>
      <c r="L14" s="107"/>
      <c r="M14" s="107"/>
      <c r="N14" s="108"/>
      <c r="O14" s="109"/>
      <c r="P14" s="109"/>
      <c r="Q14" s="109"/>
      <c r="R14" s="108"/>
      <c r="S14" s="107"/>
      <c r="T14" s="107"/>
      <c r="U14" s="107"/>
      <c r="V14" s="107"/>
      <c r="W14" s="107"/>
      <c r="X14" s="110"/>
      <c r="Y14" s="107"/>
      <c r="Z14" s="107">
        <f t="shared" si="1"/>
        <v>0</v>
      </c>
      <c r="AA14" s="110"/>
      <c r="AB14" s="110"/>
      <c r="AC14" s="110"/>
      <c r="AD14" s="110"/>
      <c r="AE14" s="119"/>
      <c r="AF14" s="119"/>
      <c r="AG14" s="24"/>
      <c r="AH14" s="24"/>
      <c r="AI14" s="24"/>
      <c r="AJ14" s="22"/>
      <c r="AK14" s="23"/>
      <c r="AL14" s="24"/>
      <c r="AM14" s="24"/>
      <c r="AN14" s="24"/>
      <c r="AO14" s="24"/>
      <c r="AP14" s="25"/>
      <c r="AQ14" s="26"/>
      <c r="AR14" s="26"/>
      <c r="AS14" s="24"/>
      <c r="AT14" s="24"/>
      <c r="AU14" s="16"/>
      <c r="AV14" s="22"/>
      <c r="AW14" s="22"/>
      <c r="AX14" s="25"/>
      <c r="AY14" s="25"/>
      <c r="AZ14" s="25"/>
      <c r="BA14" s="24"/>
      <c r="BB14" s="22"/>
      <c r="BC14" s="23"/>
      <c r="BD14" s="24"/>
      <c r="BE14" s="24"/>
      <c r="BF14" s="24"/>
      <c r="BG14" s="22"/>
      <c r="BH14" s="23"/>
      <c r="BI14" s="24"/>
      <c r="BJ14" s="24"/>
      <c r="BK14" s="24"/>
      <c r="BL14" s="29"/>
      <c r="BM14" s="16"/>
      <c r="BN14" s="30"/>
      <c r="BO14" s="30"/>
      <c r="BP14" s="30"/>
      <c r="BQ14" s="22"/>
      <c r="BR14" s="23"/>
      <c r="BS14" s="24"/>
      <c r="BT14" s="24"/>
      <c r="BU14" s="24"/>
      <c r="BV14" s="22"/>
      <c r="BW14" s="23"/>
      <c r="BX14" s="24"/>
      <c r="BY14" s="24"/>
      <c r="BZ14" s="24"/>
      <c r="CA14" s="22"/>
      <c r="CB14" s="23"/>
      <c r="CC14" s="24"/>
      <c r="CD14" s="24"/>
      <c r="CE14" s="24"/>
      <c r="CF14" s="27"/>
      <c r="CG14" s="23"/>
      <c r="CH14" s="24"/>
      <c r="CI14" s="24"/>
      <c r="CJ14" s="24"/>
      <c r="CK14" s="29"/>
      <c r="CL14" s="16"/>
      <c r="CM14" s="31"/>
      <c r="CN14" s="31"/>
      <c r="CO14" s="31"/>
      <c r="CP14" s="29"/>
      <c r="CQ14" s="16"/>
      <c r="CR14" s="31"/>
      <c r="CS14" s="31"/>
      <c r="CT14" s="32"/>
      <c r="CU14" s="33"/>
      <c r="CV14" s="16"/>
      <c r="CW14" s="31"/>
      <c r="CX14" s="31"/>
      <c r="CY14" s="31"/>
      <c r="CZ14" s="16"/>
      <c r="DA14" s="29"/>
      <c r="DB14" s="16"/>
      <c r="DC14" s="31"/>
      <c r="DD14" s="31"/>
      <c r="DE14" s="31"/>
      <c r="DF14" s="29"/>
      <c r="DG14" s="16"/>
      <c r="DH14" s="31"/>
      <c r="DI14" s="31"/>
      <c r="DJ14" s="31"/>
      <c r="DK14" s="16"/>
      <c r="DL14" s="16"/>
      <c r="DM14" s="31"/>
      <c r="DN14" s="31"/>
      <c r="DO14" s="31"/>
      <c r="DP14" s="16"/>
      <c r="DQ14" s="16"/>
      <c r="DR14" s="31"/>
      <c r="DS14" s="31"/>
      <c r="DT14" s="31"/>
      <c r="DU14" s="16"/>
      <c r="DV14" s="16"/>
      <c r="DW14" s="31"/>
      <c r="DX14" s="31"/>
      <c r="DY14" s="31"/>
      <c r="DZ14" s="16"/>
      <c r="EA14" s="16"/>
      <c r="EB14" s="31"/>
      <c r="EC14" s="31"/>
      <c r="ED14" s="31"/>
      <c r="EE14" s="16"/>
      <c r="EF14" s="16"/>
      <c r="EG14" s="31"/>
      <c r="EH14" s="31"/>
      <c r="EI14" s="31"/>
      <c r="EJ14" s="29"/>
      <c r="EK14" s="16"/>
      <c r="EL14" s="31"/>
      <c r="EM14" s="31"/>
      <c r="EN14" s="31"/>
      <c r="EO14" s="29"/>
      <c r="EP14" s="16"/>
      <c r="EQ14" s="31"/>
      <c r="ER14" s="31"/>
      <c r="ES14" s="31"/>
      <c r="ET14" s="29"/>
      <c r="EU14" s="16"/>
      <c r="EV14" s="31"/>
      <c r="EW14" s="31"/>
      <c r="EX14" s="31"/>
      <c r="EY14" s="29"/>
      <c r="EZ14" s="16"/>
      <c r="FA14" s="31"/>
      <c r="FB14" s="31"/>
      <c r="FC14" s="31"/>
      <c r="FD14" s="29"/>
      <c r="FE14" s="16"/>
      <c r="FF14" s="31"/>
      <c r="FG14" s="31"/>
      <c r="FH14" s="31"/>
      <c r="FI14" s="29"/>
      <c r="FJ14" s="16"/>
      <c r="FK14" s="31"/>
      <c r="FL14" s="31"/>
      <c r="FM14" s="31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</row>
    <row r="15" spans="2:256" s="49" customFormat="1" ht="30" customHeight="1" x14ac:dyDescent="0.25">
      <c r="B15" s="48">
        <f>30521+390</f>
        <v>30911</v>
      </c>
      <c r="C15" s="121">
        <v>130000.8</v>
      </c>
      <c r="D15" s="122" t="s">
        <v>290</v>
      </c>
      <c r="E15" s="123">
        <v>1400000</v>
      </c>
      <c r="F15" s="123"/>
      <c r="G15" s="123">
        <v>1689000</v>
      </c>
      <c r="H15" s="123">
        <v>1550000</v>
      </c>
      <c r="I15" s="104">
        <f t="shared" si="0"/>
        <v>1.3333333333333333</v>
      </c>
      <c r="J15" s="116"/>
      <c r="K15" s="124">
        <v>2000000</v>
      </c>
      <c r="L15" s="124">
        <f>1112775.8+194000</f>
        <v>1306775.8</v>
      </c>
      <c r="M15" s="124">
        <v>1424452</v>
      </c>
      <c r="N15" s="124">
        <v>1424452</v>
      </c>
      <c r="O15" s="125">
        <v>2000000</v>
      </c>
      <c r="P15" s="125">
        <v>200354</v>
      </c>
      <c r="Q15" s="125">
        <f>3000000-200354</f>
        <v>2799646</v>
      </c>
      <c r="R15" s="124">
        <v>3000000</v>
      </c>
      <c r="S15" s="124">
        <v>3000000</v>
      </c>
      <c r="T15" s="124">
        <v>3000000</v>
      </c>
      <c r="U15" s="124">
        <v>3000000</v>
      </c>
      <c r="V15" s="124">
        <f>340836+1500000</f>
        <v>1840836</v>
      </c>
      <c r="W15" s="124">
        <v>3000000</v>
      </c>
      <c r="X15" s="124">
        <v>3000000</v>
      </c>
      <c r="Y15" s="124">
        <v>2250000</v>
      </c>
      <c r="Z15" s="124">
        <v>3000000</v>
      </c>
      <c r="AA15" s="124">
        <v>3000000</v>
      </c>
      <c r="AB15" s="124">
        <f>1525074+1100000</f>
        <v>2625074</v>
      </c>
      <c r="AC15" s="124">
        <v>3000000</v>
      </c>
      <c r="AD15" s="124">
        <f>AC15</f>
        <v>3000000</v>
      </c>
      <c r="AE15" s="124">
        <v>2500000</v>
      </c>
      <c r="AF15" s="124">
        <f>AE15</f>
        <v>2500000</v>
      </c>
      <c r="AG15" s="24"/>
      <c r="AH15" s="24"/>
      <c r="AI15" s="24"/>
      <c r="AJ15" s="22"/>
      <c r="AK15" s="23"/>
      <c r="AL15" s="24"/>
      <c r="AM15" s="24"/>
      <c r="AN15" s="24"/>
      <c r="AO15" s="24"/>
      <c r="AP15" s="25"/>
      <c r="AQ15" s="26"/>
      <c r="AR15" s="26"/>
      <c r="AS15" s="24"/>
      <c r="AT15" s="24"/>
      <c r="AU15" s="16"/>
      <c r="AV15" s="22"/>
      <c r="AW15" s="22"/>
      <c r="AX15" s="25"/>
      <c r="AY15" s="25"/>
      <c r="AZ15" s="25"/>
      <c r="BA15" s="24"/>
      <c r="BB15" s="22"/>
      <c r="BC15" s="23"/>
      <c r="BD15" s="24"/>
      <c r="BE15" s="24"/>
      <c r="BF15" s="24"/>
      <c r="BG15" s="22"/>
      <c r="BH15" s="23"/>
      <c r="BI15" s="24"/>
      <c r="BJ15" s="24"/>
      <c r="BK15" s="24"/>
      <c r="BL15" s="29"/>
      <c r="BM15" s="16"/>
      <c r="BN15" s="30"/>
      <c r="BO15" s="30"/>
      <c r="BP15" s="30"/>
      <c r="BQ15" s="22"/>
      <c r="BR15" s="23"/>
      <c r="BS15" s="24"/>
      <c r="BT15" s="24"/>
      <c r="BU15" s="24"/>
      <c r="BV15" s="22"/>
      <c r="BW15" s="23"/>
      <c r="BX15" s="24"/>
      <c r="BY15" s="24"/>
      <c r="BZ15" s="24"/>
      <c r="CA15" s="22"/>
      <c r="CB15" s="23"/>
      <c r="CC15" s="24"/>
      <c r="CD15" s="24"/>
      <c r="CE15" s="24"/>
      <c r="CF15" s="27"/>
      <c r="CG15" s="23"/>
      <c r="CH15" s="24"/>
      <c r="CI15" s="24"/>
      <c r="CJ15" s="24"/>
      <c r="CK15" s="29"/>
      <c r="CL15" s="16"/>
      <c r="CM15" s="31"/>
      <c r="CN15" s="31"/>
      <c r="CO15" s="31"/>
      <c r="CP15" s="29"/>
      <c r="CQ15" s="16"/>
      <c r="CR15" s="31"/>
      <c r="CS15" s="31"/>
      <c r="CT15" s="32"/>
      <c r="CU15" s="33"/>
      <c r="CV15" s="16"/>
      <c r="CW15" s="31"/>
      <c r="CX15" s="31"/>
      <c r="CY15" s="31"/>
      <c r="CZ15" s="16"/>
      <c r="DA15" s="29"/>
      <c r="DB15" s="16"/>
      <c r="DC15" s="31"/>
      <c r="DD15" s="31"/>
      <c r="DE15" s="31"/>
      <c r="DF15" s="29"/>
      <c r="DG15" s="16"/>
      <c r="DH15" s="31"/>
      <c r="DI15" s="31"/>
      <c r="DJ15" s="31"/>
      <c r="DK15" s="16"/>
      <c r="DL15" s="16"/>
      <c r="DM15" s="31"/>
      <c r="DN15" s="31"/>
      <c r="DO15" s="31"/>
      <c r="DP15" s="16"/>
      <c r="DQ15" s="16"/>
      <c r="DR15" s="31"/>
      <c r="DS15" s="31"/>
      <c r="DT15" s="31"/>
      <c r="DU15" s="16"/>
      <c r="DV15" s="16"/>
      <c r="DW15" s="31"/>
      <c r="DX15" s="31"/>
      <c r="DY15" s="31"/>
      <c r="DZ15" s="16"/>
      <c r="EA15" s="16"/>
      <c r="EB15" s="31"/>
      <c r="EC15" s="31"/>
      <c r="ED15" s="31"/>
      <c r="EE15" s="16"/>
      <c r="EF15" s="16"/>
      <c r="EG15" s="31"/>
      <c r="EH15" s="31"/>
      <c r="EI15" s="31"/>
      <c r="EJ15" s="29"/>
      <c r="EK15" s="16"/>
      <c r="EL15" s="31"/>
      <c r="EM15" s="31"/>
      <c r="EN15" s="31"/>
      <c r="EO15" s="29"/>
      <c r="EP15" s="16"/>
      <c r="EQ15" s="31"/>
      <c r="ER15" s="31"/>
      <c r="ES15" s="31"/>
      <c r="ET15" s="29"/>
      <c r="EU15" s="16"/>
      <c r="EV15" s="31"/>
      <c r="EW15" s="31"/>
      <c r="EX15" s="31"/>
      <c r="EY15" s="29"/>
      <c r="EZ15" s="16"/>
      <c r="FA15" s="31"/>
      <c r="FB15" s="31"/>
      <c r="FC15" s="31"/>
      <c r="FD15" s="29"/>
      <c r="FE15" s="16"/>
      <c r="FF15" s="31"/>
      <c r="FG15" s="31"/>
      <c r="FH15" s="31"/>
      <c r="FI15" s="29"/>
      <c r="FJ15" s="16"/>
      <c r="FK15" s="31"/>
      <c r="FL15" s="31"/>
      <c r="FM15" s="31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  <c r="IS15" s="48"/>
      <c r="IT15" s="48"/>
      <c r="IU15" s="48"/>
      <c r="IV15" s="48"/>
    </row>
    <row r="16" spans="2:256" ht="30" customHeight="1" x14ac:dyDescent="0.25">
      <c r="B16" s="14"/>
      <c r="C16" s="102"/>
      <c r="D16" s="103"/>
      <c r="E16" s="104"/>
      <c r="F16" s="105"/>
      <c r="G16" s="126"/>
      <c r="H16" s="104"/>
      <c r="I16" s="104">
        <f t="shared" si="0"/>
        <v>1.3333333333333333</v>
      </c>
      <c r="J16" s="116"/>
      <c r="K16" s="107"/>
      <c r="L16" s="107"/>
      <c r="M16" s="107"/>
      <c r="N16" s="108"/>
      <c r="O16" s="109"/>
      <c r="P16" s="109"/>
      <c r="Q16" s="109"/>
      <c r="R16" s="108"/>
      <c r="S16" s="107"/>
      <c r="T16" s="107"/>
      <c r="U16" s="107"/>
      <c r="V16" s="107"/>
      <c r="W16" s="107"/>
      <c r="X16" s="110"/>
      <c r="Y16" s="107"/>
      <c r="Z16" s="107">
        <f t="shared" si="1"/>
        <v>0</v>
      </c>
      <c r="AA16" s="110"/>
      <c r="AB16" s="110"/>
      <c r="AC16" s="110"/>
      <c r="AD16" s="110"/>
      <c r="AE16" s="119"/>
      <c r="AF16" s="119"/>
      <c r="AG16" s="24"/>
      <c r="AH16" s="24"/>
      <c r="AI16" s="24"/>
      <c r="AJ16" s="22"/>
      <c r="AK16" s="23"/>
      <c r="AL16" s="24"/>
      <c r="AM16" s="24"/>
      <c r="AN16" s="24"/>
      <c r="AO16" s="24"/>
      <c r="AP16" s="25"/>
      <c r="AQ16" s="26"/>
      <c r="AR16" s="26"/>
      <c r="AS16" s="24"/>
      <c r="AT16" s="24"/>
      <c r="AU16" s="16"/>
      <c r="AV16" s="22"/>
      <c r="AW16" s="22"/>
      <c r="AX16" s="25"/>
      <c r="AY16" s="25"/>
      <c r="AZ16" s="25"/>
      <c r="BA16" s="24"/>
      <c r="BB16" s="22"/>
      <c r="BC16" s="23"/>
      <c r="BD16" s="24"/>
      <c r="BE16" s="24"/>
      <c r="BF16" s="24"/>
      <c r="BG16" s="22"/>
      <c r="BH16" s="23"/>
      <c r="BI16" s="24"/>
      <c r="BJ16" s="24"/>
      <c r="BK16" s="24"/>
      <c r="BL16" s="29"/>
      <c r="BM16" s="16"/>
      <c r="BN16" s="30"/>
      <c r="BO16" s="30"/>
      <c r="BP16" s="30"/>
      <c r="BQ16" s="22"/>
      <c r="BR16" s="23"/>
      <c r="BS16" s="24"/>
      <c r="BT16" s="24"/>
      <c r="BU16" s="24"/>
      <c r="BV16" s="22"/>
      <c r="BW16" s="23"/>
      <c r="BX16" s="24"/>
      <c r="BY16" s="24"/>
      <c r="BZ16" s="24"/>
      <c r="CA16" s="22"/>
      <c r="CB16" s="23"/>
      <c r="CC16" s="24"/>
      <c r="CD16" s="24"/>
      <c r="CE16" s="24"/>
      <c r="CF16" s="27"/>
      <c r="CG16" s="23"/>
      <c r="CH16" s="24"/>
      <c r="CI16" s="24"/>
      <c r="CJ16" s="24"/>
      <c r="CK16" s="29"/>
      <c r="CL16" s="16"/>
      <c r="CM16" s="31"/>
      <c r="CN16" s="31"/>
      <c r="CO16" s="31"/>
      <c r="CP16" s="29"/>
      <c r="CQ16" s="16"/>
      <c r="CR16" s="31"/>
      <c r="CS16" s="31"/>
      <c r="CT16" s="32"/>
      <c r="CU16" s="33"/>
      <c r="CV16" s="16"/>
      <c r="CW16" s="31"/>
      <c r="CX16" s="31"/>
      <c r="CY16" s="31"/>
      <c r="CZ16" s="16"/>
      <c r="DA16" s="29"/>
      <c r="DB16" s="16"/>
      <c r="DC16" s="31"/>
      <c r="DD16" s="31"/>
      <c r="DE16" s="31"/>
      <c r="DF16" s="29"/>
      <c r="DG16" s="16"/>
      <c r="DH16" s="31"/>
      <c r="DI16" s="31"/>
      <c r="DJ16" s="31"/>
      <c r="DK16" s="16"/>
      <c r="DL16" s="16"/>
      <c r="DM16" s="31"/>
      <c r="DN16" s="31"/>
      <c r="DO16" s="31"/>
      <c r="DP16" s="16"/>
      <c r="DQ16" s="16"/>
      <c r="DR16" s="31"/>
      <c r="DS16" s="31"/>
      <c r="DT16" s="31"/>
      <c r="DU16" s="16"/>
      <c r="DV16" s="16"/>
      <c r="DW16" s="31"/>
      <c r="DX16" s="31"/>
      <c r="DY16" s="31"/>
      <c r="DZ16" s="16"/>
      <c r="EA16" s="16"/>
      <c r="EB16" s="31"/>
      <c r="EC16" s="31"/>
      <c r="ED16" s="31"/>
      <c r="EE16" s="16"/>
      <c r="EF16" s="16"/>
      <c r="EG16" s="31"/>
      <c r="EH16" s="31"/>
      <c r="EI16" s="31"/>
      <c r="EJ16" s="29"/>
      <c r="EK16" s="16"/>
      <c r="EL16" s="31"/>
      <c r="EM16" s="31"/>
      <c r="EN16" s="31"/>
      <c r="EO16" s="29"/>
      <c r="EP16" s="16"/>
      <c r="EQ16" s="31"/>
      <c r="ER16" s="31"/>
      <c r="ES16" s="31"/>
      <c r="ET16" s="29"/>
      <c r="EU16" s="16"/>
      <c r="EV16" s="31"/>
      <c r="EW16" s="31"/>
      <c r="EX16" s="31"/>
      <c r="EY16" s="29"/>
      <c r="EZ16" s="16"/>
      <c r="FA16" s="31"/>
      <c r="FB16" s="31"/>
      <c r="FC16" s="31"/>
      <c r="FD16" s="29"/>
      <c r="FE16" s="16"/>
      <c r="FF16" s="31"/>
      <c r="FG16" s="31"/>
      <c r="FH16" s="31"/>
      <c r="FI16" s="29"/>
      <c r="FJ16" s="16"/>
      <c r="FK16" s="31"/>
      <c r="FL16" s="31"/>
      <c r="FM16" s="31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</row>
    <row r="17" spans="2:256" ht="30" customHeight="1" x14ac:dyDescent="0.25">
      <c r="B17" s="14">
        <v>11602117</v>
      </c>
      <c r="C17" s="102">
        <v>191000.91</v>
      </c>
      <c r="D17" s="103" t="s">
        <v>284</v>
      </c>
      <c r="E17" s="126">
        <v>15261750</v>
      </c>
      <c r="F17" s="105"/>
      <c r="G17" s="126">
        <f>18005714+1288000</f>
        <v>19293714</v>
      </c>
      <c r="H17" s="126">
        <f>21602000*0.85</f>
        <v>18361700</v>
      </c>
      <c r="I17" s="104">
        <f t="shared" si="0"/>
        <v>1.3333333333333333</v>
      </c>
      <c r="J17" s="116"/>
      <c r="K17" s="107">
        <v>20413000</v>
      </c>
      <c r="L17" s="107">
        <v>13772000</v>
      </c>
      <c r="M17" s="107">
        <v>15266000</v>
      </c>
      <c r="N17" s="108"/>
      <c r="O17" s="109">
        <f>M17*4/3</f>
        <v>20354666.666666668</v>
      </c>
      <c r="P17" s="109">
        <v>11131000</v>
      </c>
      <c r="Q17" s="109">
        <f>P17/7*5</f>
        <v>7950714.2857142854</v>
      </c>
      <c r="R17" s="107">
        <v>19888000</v>
      </c>
      <c r="S17" s="107">
        <v>19805000</v>
      </c>
      <c r="T17" s="107">
        <v>19805000</v>
      </c>
      <c r="U17" s="107">
        <v>19587000</v>
      </c>
      <c r="V17" s="107">
        <v>9793700</v>
      </c>
      <c r="W17" s="107">
        <f>V17*2</f>
        <v>19587400</v>
      </c>
      <c r="X17" s="110">
        <f>U17</f>
        <v>19587000</v>
      </c>
      <c r="Y17" s="107">
        <v>17953490</v>
      </c>
      <c r="Z17" s="107">
        <f t="shared" si="1"/>
        <v>21544188</v>
      </c>
      <c r="AA17" s="110">
        <v>19587000</v>
      </c>
      <c r="AB17" s="110">
        <v>13746000</v>
      </c>
      <c r="AC17" s="110">
        <v>18328000</v>
      </c>
      <c r="AD17" s="108">
        <v>18674000</v>
      </c>
      <c r="AE17" s="111">
        <v>18728000</v>
      </c>
      <c r="AF17" s="111">
        <v>19264000</v>
      </c>
      <c r="AG17" s="24"/>
      <c r="AH17" s="24"/>
      <c r="AI17" s="24"/>
      <c r="AJ17" s="22"/>
      <c r="AK17" s="23"/>
      <c r="AL17" s="24"/>
      <c r="AM17" s="24"/>
      <c r="AN17" s="24"/>
      <c r="AO17" s="24"/>
      <c r="AP17" s="16"/>
      <c r="AQ17" s="16"/>
      <c r="AR17" s="16"/>
      <c r="AS17" s="24"/>
      <c r="AT17" s="24"/>
      <c r="AU17" s="16"/>
      <c r="AV17" s="35"/>
      <c r="AW17" s="35"/>
      <c r="AX17" s="25"/>
      <c r="AY17" s="25"/>
      <c r="AZ17" s="25"/>
      <c r="BA17" s="24"/>
      <c r="BB17" s="22"/>
      <c r="BC17" s="23"/>
      <c r="BD17" s="24"/>
      <c r="BE17" s="24"/>
      <c r="BF17" s="24"/>
      <c r="BG17" s="22"/>
      <c r="BH17" s="23"/>
      <c r="BI17" s="24"/>
      <c r="BJ17" s="24"/>
      <c r="BK17" s="24"/>
      <c r="BL17" s="29"/>
      <c r="BM17" s="16"/>
      <c r="BN17" s="30"/>
      <c r="BO17" s="30"/>
      <c r="BP17" s="30"/>
      <c r="BQ17" s="22"/>
      <c r="BR17" s="23"/>
      <c r="BS17" s="24"/>
      <c r="BT17" s="24"/>
      <c r="BU17" s="24"/>
      <c r="BV17" s="22"/>
      <c r="BW17" s="23"/>
      <c r="BX17" s="24"/>
      <c r="BY17" s="24"/>
      <c r="BZ17" s="24"/>
      <c r="CA17" s="22"/>
      <c r="CB17" s="23"/>
      <c r="CC17" s="24"/>
      <c r="CD17" s="24"/>
      <c r="CE17" s="24"/>
      <c r="CF17" s="27"/>
      <c r="CG17" s="23"/>
      <c r="CH17" s="24"/>
      <c r="CI17" s="24"/>
      <c r="CJ17" s="24"/>
      <c r="CK17" s="29"/>
      <c r="CL17" s="16"/>
      <c r="CM17" s="31"/>
      <c r="CN17" s="31"/>
      <c r="CO17" s="31"/>
      <c r="CP17" s="29"/>
      <c r="CQ17" s="16"/>
      <c r="CR17" s="31"/>
      <c r="CS17" s="31"/>
      <c r="CT17" s="32"/>
      <c r="CU17" s="33"/>
      <c r="CV17" s="16"/>
      <c r="CW17" s="31"/>
      <c r="CX17" s="31"/>
      <c r="CY17" s="31"/>
      <c r="CZ17" s="16"/>
      <c r="DA17" s="29"/>
      <c r="DB17" s="16"/>
      <c r="DC17" s="31"/>
      <c r="DD17" s="31"/>
      <c r="DE17" s="31"/>
      <c r="DF17" s="29"/>
      <c r="DG17" s="16"/>
      <c r="DH17" s="31"/>
      <c r="DI17" s="31"/>
      <c r="DJ17" s="31"/>
      <c r="DK17" s="29"/>
      <c r="DL17" s="16"/>
      <c r="DM17" s="31"/>
      <c r="DN17" s="31"/>
      <c r="DO17" s="31"/>
      <c r="DP17" s="29"/>
      <c r="DQ17" s="16"/>
      <c r="DR17" s="31"/>
      <c r="DS17" s="31"/>
      <c r="DT17" s="31"/>
      <c r="DU17" s="29"/>
      <c r="DV17" s="16"/>
      <c r="DW17" s="31"/>
      <c r="DX17" s="31"/>
      <c r="DY17" s="31"/>
      <c r="DZ17" s="29"/>
      <c r="EA17" s="16"/>
      <c r="EB17" s="31"/>
      <c r="EC17" s="31"/>
      <c r="ED17" s="31"/>
      <c r="EE17" s="29"/>
      <c r="EF17" s="16"/>
      <c r="EG17" s="31"/>
      <c r="EH17" s="31"/>
      <c r="EI17" s="31"/>
      <c r="EJ17" s="29"/>
      <c r="EK17" s="16"/>
      <c r="EL17" s="31"/>
      <c r="EM17" s="31"/>
      <c r="EN17" s="31"/>
      <c r="EO17" s="29"/>
      <c r="EP17" s="16"/>
      <c r="EQ17" s="31"/>
      <c r="ER17" s="31"/>
      <c r="ES17" s="31"/>
      <c r="ET17" s="29"/>
      <c r="EU17" s="16"/>
      <c r="EV17" s="31"/>
      <c r="EW17" s="31"/>
      <c r="EX17" s="31"/>
      <c r="EY17" s="29"/>
      <c r="EZ17" s="16"/>
      <c r="FA17" s="31"/>
      <c r="FB17" s="31"/>
      <c r="FC17" s="31"/>
      <c r="FD17" s="29"/>
      <c r="FE17" s="16"/>
      <c r="FF17" s="31"/>
      <c r="FG17" s="31"/>
      <c r="FH17" s="31"/>
      <c r="FI17" s="29"/>
      <c r="FJ17" s="16"/>
      <c r="FK17" s="31"/>
      <c r="FL17" s="31"/>
      <c r="FM17" s="31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</row>
    <row r="18" spans="2:256" ht="30" customHeight="1" x14ac:dyDescent="0.25">
      <c r="B18" s="14"/>
      <c r="C18" s="102">
        <v>191001.91</v>
      </c>
      <c r="D18" s="103" t="s">
        <v>594</v>
      </c>
      <c r="E18" s="126"/>
      <c r="F18" s="105"/>
      <c r="G18" s="126"/>
      <c r="H18" s="126"/>
      <c r="I18" s="104"/>
      <c r="J18" s="116"/>
      <c r="K18" s="107"/>
      <c r="L18" s="107"/>
      <c r="M18" s="107"/>
      <c r="N18" s="108"/>
      <c r="O18" s="109"/>
      <c r="P18" s="109"/>
      <c r="Q18" s="109"/>
      <c r="R18" s="107"/>
      <c r="S18" s="107">
        <v>3495000</v>
      </c>
      <c r="T18" s="107">
        <v>3495000</v>
      </c>
      <c r="U18" s="107">
        <v>3457000</v>
      </c>
      <c r="V18" s="107">
        <v>0</v>
      </c>
      <c r="W18" s="107">
        <f>3457000*0.5</f>
        <v>1728500</v>
      </c>
      <c r="X18" s="110">
        <f>U18</f>
        <v>3457000</v>
      </c>
      <c r="Y18" s="107">
        <v>1497211</v>
      </c>
      <c r="Z18" s="107">
        <v>1497211</v>
      </c>
      <c r="AA18" s="110">
        <v>3457000</v>
      </c>
      <c r="AB18" s="110">
        <v>2696000</v>
      </c>
      <c r="AC18" s="110">
        <f>AB18*12/10</f>
        <v>3235200</v>
      </c>
      <c r="AD18" s="108">
        <v>3295000</v>
      </c>
      <c r="AE18" s="111">
        <v>3305000</v>
      </c>
      <c r="AF18" s="127">
        <v>3400000</v>
      </c>
      <c r="AG18" s="24" t="s">
        <v>693</v>
      </c>
      <c r="AH18" s="24"/>
      <c r="AI18" s="24"/>
      <c r="AJ18" s="22"/>
      <c r="AK18" s="23"/>
      <c r="AL18" s="24"/>
      <c r="AM18" s="24"/>
      <c r="AN18" s="24"/>
      <c r="AO18" s="24"/>
      <c r="AP18" s="16"/>
      <c r="AQ18" s="16"/>
      <c r="AR18" s="16"/>
      <c r="AS18" s="24"/>
      <c r="AT18" s="24"/>
      <c r="AU18" s="16"/>
      <c r="AV18" s="35"/>
      <c r="AW18" s="35"/>
      <c r="AX18" s="25"/>
      <c r="AY18" s="25"/>
      <c r="AZ18" s="25"/>
      <c r="BA18" s="24"/>
      <c r="BB18" s="22"/>
      <c r="BC18" s="23"/>
      <c r="BD18" s="24"/>
      <c r="BE18" s="24"/>
      <c r="BF18" s="24"/>
      <c r="BG18" s="22"/>
      <c r="BH18" s="23"/>
      <c r="BI18" s="24"/>
      <c r="BJ18" s="24"/>
      <c r="BK18" s="24"/>
      <c r="BL18" s="29"/>
      <c r="BM18" s="16"/>
      <c r="BN18" s="30"/>
      <c r="BO18" s="30"/>
      <c r="BP18" s="30"/>
      <c r="BQ18" s="22"/>
      <c r="BR18" s="23"/>
      <c r="BS18" s="24"/>
      <c r="BT18" s="24"/>
      <c r="BU18" s="24"/>
      <c r="BV18" s="22"/>
      <c r="BW18" s="23"/>
      <c r="BX18" s="24"/>
      <c r="BY18" s="24"/>
      <c r="BZ18" s="24"/>
      <c r="CA18" s="22"/>
      <c r="CB18" s="23"/>
      <c r="CC18" s="24"/>
      <c r="CD18" s="24"/>
      <c r="CE18" s="24"/>
      <c r="CF18" s="27"/>
      <c r="CG18" s="23"/>
      <c r="CH18" s="24"/>
      <c r="CI18" s="24"/>
      <c r="CJ18" s="24"/>
      <c r="CK18" s="29"/>
      <c r="CL18" s="16"/>
      <c r="CM18" s="31"/>
      <c r="CN18" s="31"/>
      <c r="CO18" s="31"/>
      <c r="CP18" s="29"/>
      <c r="CQ18" s="16"/>
      <c r="CR18" s="31"/>
      <c r="CS18" s="31"/>
      <c r="CT18" s="32"/>
      <c r="CU18" s="33"/>
      <c r="CV18" s="16"/>
      <c r="CW18" s="31"/>
      <c r="CX18" s="31"/>
      <c r="CY18" s="31"/>
      <c r="CZ18" s="16"/>
      <c r="DA18" s="29"/>
      <c r="DB18" s="16"/>
      <c r="DC18" s="31"/>
      <c r="DD18" s="31"/>
      <c r="DE18" s="31"/>
      <c r="DF18" s="29"/>
      <c r="DG18" s="16"/>
      <c r="DH18" s="31"/>
      <c r="DI18" s="31"/>
      <c r="DJ18" s="31"/>
      <c r="DK18" s="29"/>
      <c r="DL18" s="16"/>
      <c r="DM18" s="31"/>
      <c r="DN18" s="31"/>
      <c r="DO18" s="31"/>
      <c r="DP18" s="29"/>
      <c r="DQ18" s="16"/>
      <c r="DR18" s="31"/>
      <c r="DS18" s="31"/>
      <c r="DT18" s="31"/>
      <c r="DU18" s="29"/>
      <c r="DV18" s="16"/>
      <c r="DW18" s="31"/>
      <c r="DX18" s="31"/>
      <c r="DY18" s="31"/>
      <c r="DZ18" s="29"/>
      <c r="EA18" s="16"/>
      <c r="EB18" s="31"/>
      <c r="EC18" s="31"/>
      <c r="ED18" s="31"/>
      <c r="EE18" s="29"/>
      <c r="EF18" s="16"/>
      <c r="EG18" s="31"/>
      <c r="EH18" s="31"/>
      <c r="EI18" s="31"/>
      <c r="EJ18" s="29"/>
      <c r="EK18" s="16"/>
      <c r="EL18" s="31"/>
      <c r="EM18" s="31"/>
      <c r="EN18" s="31"/>
      <c r="EO18" s="29"/>
      <c r="EP18" s="16"/>
      <c r="EQ18" s="31"/>
      <c r="ER18" s="31"/>
      <c r="ES18" s="31"/>
      <c r="ET18" s="29"/>
      <c r="EU18" s="16"/>
      <c r="EV18" s="31"/>
      <c r="EW18" s="31"/>
      <c r="EX18" s="31"/>
      <c r="EY18" s="29"/>
      <c r="EZ18" s="16"/>
      <c r="FA18" s="31"/>
      <c r="FB18" s="31"/>
      <c r="FC18" s="31"/>
      <c r="FD18" s="29"/>
      <c r="FE18" s="16"/>
      <c r="FF18" s="31"/>
      <c r="FG18" s="31"/>
      <c r="FH18" s="31"/>
      <c r="FI18" s="29"/>
      <c r="FJ18" s="16"/>
      <c r="FK18" s="31"/>
      <c r="FL18" s="31"/>
      <c r="FM18" s="31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</row>
    <row r="19" spans="2:256" ht="30" customHeight="1" x14ac:dyDescent="0.25">
      <c r="B19" s="14"/>
      <c r="C19" s="102">
        <v>191002.91</v>
      </c>
      <c r="D19" s="103" t="s">
        <v>600</v>
      </c>
      <c r="E19" s="126">
        <v>1282500</v>
      </c>
      <c r="F19" s="105"/>
      <c r="G19" s="126">
        <v>0</v>
      </c>
      <c r="H19" s="126">
        <f>21602000*0.15</f>
        <v>3240300</v>
      </c>
      <c r="I19" s="104">
        <f t="shared" si="0"/>
        <v>1.3333333333333333</v>
      </c>
      <c r="J19" s="116"/>
      <c r="K19" s="107">
        <v>3602000</v>
      </c>
      <c r="L19" s="107">
        <v>0</v>
      </c>
      <c r="M19" s="107">
        <v>2694000</v>
      </c>
      <c r="N19" s="108"/>
      <c r="O19" s="109">
        <f>M19*4/3</f>
        <v>3592000</v>
      </c>
      <c r="P19" s="109">
        <v>1796000</v>
      </c>
      <c r="Q19" s="109">
        <v>1796000</v>
      </c>
      <c r="R19" s="107">
        <v>3412000</v>
      </c>
      <c r="S19" s="107"/>
      <c r="T19" s="107"/>
      <c r="U19" s="107">
        <v>256000</v>
      </c>
      <c r="V19" s="107">
        <v>1497000</v>
      </c>
      <c r="W19" s="107">
        <v>1497000</v>
      </c>
      <c r="X19" s="110">
        <v>1497000</v>
      </c>
      <c r="Y19" s="107"/>
      <c r="Z19" s="107">
        <f t="shared" si="1"/>
        <v>0</v>
      </c>
      <c r="AA19" s="110"/>
      <c r="AB19" s="110">
        <v>464000</v>
      </c>
      <c r="AC19" s="110">
        <v>464000</v>
      </c>
      <c r="AD19" s="108">
        <f>464000</f>
        <v>464000</v>
      </c>
      <c r="AE19" s="111">
        <v>4837000</v>
      </c>
      <c r="AF19" s="111">
        <v>4206000</v>
      </c>
      <c r="AG19" s="24"/>
      <c r="AH19" s="24"/>
      <c r="AI19" s="24"/>
      <c r="AJ19" s="22"/>
      <c r="AK19" s="23"/>
      <c r="AL19" s="24"/>
      <c r="AM19" s="24"/>
      <c r="AN19" s="24"/>
      <c r="AO19" s="24"/>
      <c r="AP19" s="16"/>
      <c r="AQ19" s="16"/>
      <c r="AR19" s="16"/>
      <c r="AS19" s="24"/>
      <c r="AT19" s="24"/>
      <c r="AU19" s="16"/>
      <c r="AV19" s="35"/>
      <c r="AW19" s="35"/>
      <c r="AX19" s="25"/>
      <c r="AY19" s="25"/>
      <c r="AZ19" s="25"/>
      <c r="BA19" s="24"/>
      <c r="BB19" s="22"/>
      <c r="BC19" s="23"/>
      <c r="BD19" s="24"/>
      <c r="BE19" s="24"/>
      <c r="BF19" s="24"/>
      <c r="BG19" s="22"/>
      <c r="BH19" s="23"/>
      <c r="BI19" s="24"/>
      <c r="BJ19" s="24"/>
      <c r="BK19" s="24"/>
      <c r="BL19" s="29"/>
      <c r="BM19" s="16"/>
      <c r="BN19" s="30"/>
      <c r="BO19" s="30"/>
      <c r="BP19" s="30"/>
      <c r="BQ19" s="22"/>
      <c r="BR19" s="23"/>
      <c r="BS19" s="24"/>
      <c r="BT19" s="24"/>
      <c r="BU19" s="24"/>
      <c r="BV19" s="22"/>
      <c r="BW19" s="23"/>
      <c r="BX19" s="24"/>
      <c r="BY19" s="24"/>
      <c r="BZ19" s="24"/>
      <c r="CA19" s="22"/>
      <c r="CB19" s="23"/>
      <c r="CC19" s="24"/>
      <c r="CD19" s="24"/>
      <c r="CE19" s="24"/>
      <c r="CF19" s="27"/>
      <c r="CG19" s="23"/>
      <c r="CH19" s="24"/>
      <c r="CI19" s="24"/>
      <c r="CJ19" s="24"/>
      <c r="CK19" s="29"/>
      <c r="CL19" s="16"/>
      <c r="CM19" s="31"/>
      <c r="CN19" s="31"/>
      <c r="CO19" s="31"/>
      <c r="CP19" s="29"/>
      <c r="CQ19" s="16"/>
      <c r="CR19" s="31"/>
      <c r="CS19" s="31"/>
      <c r="CT19" s="32"/>
      <c r="CU19" s="33"/>
      <c r="CV19" s="16"/>
      <c r="CW19" s="31"/>
      <c r="CX19" s="31"/>
      <c r="CY19" s="31"/>
      <c r="CZ19" s="16"/>
      <c r="DA19" s="29"/>
      <c r="DB19" s="16"/>
      <c r="DC19" s="31"/>
      <c r="DD19" s="31"/>
      <c r="DE19" s="31"/>
      <c r="DF19" s="29"/>
      <c r="DG19" s="16"/>
      <c r="DH19" s="31"/>
      <c r="DI19" s="31"/>
      <c r="DJ19" s="31"/>
      <c r="DK19" s="29"/>
      <c r="DL19" s="16"/>
      <c r="DM19" s="31"/>
      <c r="DN19" s="31"/>
      <c r="DO19" s="31"/>
      <c r="DP19" s="29"/>
      <c r="DQ19" s="16"/>
      <c r="DR19" s="31"/>
      <c r="DS19" s="31"/>
      <c r="DT19" s="31"/>
      <c r="DU19" s="29"/>
      <c r="DV19" s="16"/>
      <c r="DW19" s="31"/>
      <c r="DX19" s="31"/>
      <c r="DY19" s="31"/>
      <c r="DZ19" s="29"/>
      <c r="EA19" s="16"/>
      <c r="EB19" s="31"/>
      <c r="EC19" s="31"/>
      <c r="ED19" s="31"/>
      <c r="EE19" s="29"/>
      <c r="EF19" s="16"/>
      <c r="EG19" s="31"/>
      <c r="EH19" s="31"/>
      <c r="EI19" s="31"/>
      <c r="EJ19" s="29"/>
      <c r="EK19" s="16"/>
      <c r="EL19" s="31"/>
      <c r="EM19" s="31"/>
      <c r="EN19" s="31"/>
      <c r="EO19" s="29"/>
      <c r="EP19" s="16"/>
      <c r="EQ19" s="31"/>
      <c r="ER19" s="31"/>
      <c r="ES19" s="31"/>
      <c r="ET19" s="29"/>
      <c r="EU19" s="16"/>
      <c r="EV19" s="31"/>
      <c r="EW19" s="31"/>
      <c r="EX19" s="31"/>
      <c r="EY19" s="29"/>
      <c r="EZ19" s="16"/>
      <c r="FA19" s="31"/>
      <c r="FB19" s="31"/>
      <c r="FC19" s="31"/>
      <c r="FD19" s="29"/>
      <c r="FE19" s="16"/>
      <c r="FF19" s="31"/>
      <c r="FG19" s="31"/>
      <c r="FH19" s="31"/>
      <c r="FI19" s="29"/>
      <c r="FJ19" s="16"/>
      <c r="FK19" s="31"/>
      <c r="FL19" s="31"/>
      <c r="FM19" s="31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</row>
    <row r="20" spans="2:256" ht="30" customHeight="1" x14ac:dyDescent="0.25">
      <c r="B20" s="14">
        <v>4862270</v>
      </c>
      <c r="C20" s="102"/>
      <c r="D20" s="103"/>
      <c r="E20" s="126">
        <v>2693250</v>
      </c>
      <c r="F20" s="105"/>
      <c r="G20" s="126">
        <f>2360920-1288000</f>
        <v>1072920</v>
      </c>
      <c r="H20" s="126">
        <f>380000+675000-200000</f>
        <v>855000</v>
      </c>
      <c r="I20" s="104">
        <f t="shared" si="0"/>
        <v>1.3333333333333333</v>
      </c>
      <c r="J20" s="116" t="s">
        <v>394</v>
      </c>
      <c r="K20" s="107">
        <v>25000</v>
      </c>
      <c r="L20" s="107">
        <f>19985</f>
        <v>19985</v>
      </c>
      <c r="M20" s="107">
        <v>1622565</v>
      </c>
      <c r="N20" s="108"/>
      <c r="O20" s="109">
        <v>1622565</v>
      </c>
      <c r="P20" s="109">
        <v>1450000</v>
      </c>
      <c r="Q20" s="109">
        <v>0</v>
      </c>
      <c r="R20" s="107">
        <v>25000</v>
      </c>
      <c r="S20" s="107">
        <v>25000</v>
      </c>
      <c r="T20" s="107">
        <v>61225</v>
      </c>
      <c r="U20" s="107">
        <v>50000</v>
      </c>
      <c r="V20" s="107">
        <v>0</v>
      </c>
      <c r="W20" s="107">
        <v>50000</v>
      </c>
      <c r="X20" s="110">
        <f>U20</f>
        <v>50000</v>
      </c>
      <c r="Y20" s="107">
        <v>112550</v>
      </c>
      <c r="Z20" s="107">
        <f t="shared" si="1"/>
        <v>135060</v>
      </c>
      <c r="AA20" s="110"/>
      <c r="AB20" s="110"/>
      <c r="AC20" s="110"/>
      <c r="AD20" s="110"/>
      <c r="AE20" s="128"/>
      <c r="AF20" s="128"/>
      <c r="AG20" s="24"/>
      <c r="AH20" s="24"/>
      <c r="AI20" s="24"/>
      <c r="AJ20" s="35"/>
      <c r="AK20" s="25"/>
      <c r="AL20" s="26"/>
      <c r="AM20" s="26"/>
      <c r="AN20" s="26"/>
      <c r="AO20" s="26"/>
      <c r="AP20" s="23"/>
      <c r="AQ20" s="24"/>
      <c r="AR20" s="24"/>
      <c r="AS20" s="24"/>
      <c r="AT20" s="24"/>
      <c r="AU20" s="16"/>
      <c r="AV20" s="22"/>
      <c r="AW20" s="22"/>
      <c r="AX20" s="23"/>
      <c r="AY20" s="23"/>
      <c r="AZ20" s="23"/>
      <c r="BA20" s="24"/>
      <c r="BB20" s="22"/>
      <c r="BC20" s="23"/>
      <c r="BD20" s="24"/>
      <c r="BE20" s="24"/>
      <c r="BF20" s="24"/>
      <c r="BG20" s="22"/>
      <c r="BH20" s="23"/>
      <c r="BI20" s="24"/>
      <c r="BJ20" s="24"/>
      <c r="BK20" s="24"/>
      <c r="BL20" s="29"/>
      <c r="BM20" s="16"/>
      <c r="BN20" s="30"/>
      <c r="BO20" s="30"/>
      <c r="BP20" s="30"/>
      <c r="BQ20" s="22"/>
      <c r="BR20" s="23"/>
      <c r="BS20" s="24"/>
      <c r="BT20" s="24"/>
      <c r="BU20" s="24"/>
      <c r="BV20" s="22"/>
      <c r="BW20" s="23"/>
      <c r="BX20" s="24"/>
      <c r="BY20" s="24"/>
      <c r="BZ20" s="24"/>
      <c r="CA20" s="22"/>
      <c r="CB20" s="23"/>
      <c r="CC20" s="24"/>
      <c r="CD20" s="24"/>
      <c r="CE20" s="24"/>
      <c r="CF20" s="27"/>
      <c r="CG20" s="23"/>
      <c r="CH20" s="24"/>
      <c r="CI20" s="24"/>
      <c r="CJ20" s="24"/>
      <c r="CK20" s="29"/>
      <c r="CL20" s="16"/>
      <c r="CM20" s="31"/>
      <c r="CN20" s="31"/>
      <c r="CO20" s="31"/>
      <c r="CP20" s="29"/>
      <c r="CQ20" s="16"/>
      <c r="CR20" s="31"/>
      <c r="CS20" s="16"/>
      <c r="CT20" s="32"/>
      <c r="CU20" s="33"/>
      <c r="CV20" s="16"/>
      <c r="CW20" s="31"/>
      <c r="CX20" s="30"/>
      <c r="CY20" s="31"/>
      <c r="CZ20" s="16"/>
      <c r="DA20" s="29"/>
      <c r="DB20" s="16"/>
      <c r="DC20" s="31"/>
      <c r="DD20" s="16"/>
      <c r="DE20" s="31"/>
      <c r="DF20" s="29"/>
      <c r="DG20" s="16"/>
      <c r="DH20" s="31"/>
      <c r="DI20" s="36"/>
      <c r="DJ20" s="31"/>
      <c r="DK20" s="29"/>
      <c r="DL20" s="16"/>
      <c r="DM20" s="31"/>
      <c r="DN20" s="31"/>
      <c r="DO20" s="31"/>
      <c r="DP20" s="29"/>
      <c r="DQ20" s="16"/>
      <c r="DR20" s="31"/>
      <c r="DS20" s="31"/>
      <c r="DT20" s="31"/>
      <c r="DU20" s="29"/>
      <c r="DV20" s="16"/>
      <c r="DW20" s="31"/>
      <c r="DX20" s="31"/>
      <c r="DY20" s="31"/>
      <c r="DZ20" s="29"/>
      <c r="EA20" s="16"/>
      <c r="EB20" s="31"/>
      <c r="EC20" s="31"/>
      <c r="ED20" s="31"/>
      <c r="EE20" s="29"/>
      <c r="EF20" s="16"/>
      <c r="EG20" s="31"/>
      <c r="EH20" s="31"/>
      <c r="EI20" s="31"/>
      <c r="EJ20" s="29"/>
      <c r="EK20" s="16"/>
      <c r="EL20" s="31"/>
      <c r="EM20" s="31"/>
      <c r="EN20" s="31"/>
      <c r="EO20" s="29"/>
      <c r="EP20" s="16"/>
      <c r="EQ20" s="31"/>
      <c r="ER20" s="31"/>
      <c r="ES20" s="31"/>
      <c r="ET20" s="29"/>
      <c r="EU20" s="16"/>
      <c r="EV20" s="31"/>
      <c r="EW20" s="31"/>
      <c r="EX20" s="31"/>
      <c r="EY20" s="29"/>
      <c r="EZ20" s="16"/>
      <c r="FA20" s="31"/>
      <c r="FB20" s="31"/>
      <c r="FC20" s="31"/>
      <c r="FD20" s="29"/>
      <c r="FE20" s="16"/>
      <c r="FF20" s="31"/>
      <c r="FG20" s="31"/>
      <c r="FH20" s="31"/>
      <c r="FI20" s="29"/>
      <c r="FJ20" s="16"/>
      <c r="FK20" s="31"/>
      <c r="FL20" s="31"/>
      <c r="FM20" s="31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</row>
    <row r="21" spans="2:256" ht="30" customHeight="1" x14ac:dyDescent="0.25">
      <c r="B21" s="14"/>
      <c r="C21" s="113" t="s">
        <v>271</v>
      </c>
      <c r="D21" s="114" t="s">
        <v>272</v>
      </c>
      <c r="E21" s="115">
        <f>SUM(E17:E20)</f>
        <v>19237500</v>
      </c>
      <c r="F21" s="115">
        <f>SUM(F17:F20)</f>
        <v>0</v>
      </c>
      <c r="G21" s="115">
        <f>SUM(G17:G20)</f>
        <v>20366634</v>
      </c>
      <c r="H21" s="115">
        <f>SUM(H17:H20)</f>
        <v>22457000</v>
      </c>
      <c r="I21" s="104">
        <f t="shared" si="0"/>
        <v>1.3333333333333333</v>
      </c>
      <c r="J21" s="116"/>
      <c r="K21" s="117">
        <f t="shared" ref="K21:X21" si="6">SUM(K17:K20)</f>
        <v>24040000</v>
      </c>
      <c r="L21" s="117">
        <f t="shared" si="6"/>
        <v>13791985</v>
      </c>
      <c r="M21" s="117">
        <f t="shared" si="6"/>
        <v>19582565</v>
      </c>
      <c r="N21" s="117">
        <f t="shared" si="6"/>
        <v>0</v>
      </c>
      <c r="O21" s="118">
        <f t="shared" si="6"/>
        <v>25569231.666666668</v>
      </c>
      <c r="P21" s="118">
        <f t="shared" si="6"/>
        <v>14377000</v>
      </c>
      <c r="Q21" s="118">
        <f t="shared" si="6"/>
        <v>9746714.2857142854</v>
      </c>
      <c r="R21" s="117">
        <f t="shared" si="6"/>
        <v>23325000</v>
      </c>
      <c r="S21" s="117">
        <f t="shared" si="6"/>
        <v>23325000</v>
      </c>
      <c r="T21" s="117">
        <f t="shared" si="6"/>
        <v>23361225</v>
      </c>
      <c r="U21" s="117">
        <f t="shared" si="6"/>
        <v>23350000</v>
      </c>
      <c r="V21" s="117">
        <f t="shared" si="6"/>
        <v>11290700</v>
      </c>
      <c r="W21" s="117">
        <f t="shared" si="6"/>
        <v>22862900</v>
      </c>
      <c r="X21" s="117">
        <f t="shared" si="6"/>
        <v>24591000</v>
      </c>
      <c r="Y21" s="117">
        <f t="shared" ref="Y21:AD21" si="7">SUM(Y17:Y20)</f>
        <v>19563251</v>
      </c>
      <c r="Z21" s="117">
        <f t="shared" si="7"/>
        <v>23176459</v>
      </c>
      <c r="AA21" s="117">
        <f t="shared" si="7"/>
        <v>23044000</v>
      </c>
      <c r="AB21" s="117">
        <f t="shared" si="7"/>
        <v>16906000</v>
      </c>
      <c r="AC21" s="117">
        <f t="shared" si="7"/>
        <v>22027200</v>
      </c>
      <c r="AD21" s="117">
        <f t="shared" si="7"/>
        <v>22433000</v>
      </c>
      <c r="AE21" s="117">
        <f>SUM(AE17:AE20)</f>
        <v>26870000</v>
      </c>
      <c r="AF21" s="117">
        <f>SUM(AF17:AF20)</f>
        <v>26870000</v>
      </c>
      <c r="AG21" s="24"/>
      <c r="AH21" s="24"/>
      <c r="AI21" s="24"/>
      <c r="AJ21" s="35"/>
      <c r="AK21" s="25"/>
      <c r="AL21" s="26"/>
      <c r="AM21" s="26"/>
      <c r="AN21" s="24"/>
      <c r="AO21" s="24"/>
      <c r="AP21" s="25"/>
      <c r="AQ21" s="26"/>
      <c r="AR21" s="26"/>
      <c r="AS21" s="24"/>
      <c r="AT21" s="24"/>
      <c r="AU21" s="16"/>
      <c r="AV21" s="22"/>
      <c r="AW21" s="22"/>
      <c r="AX21" s="23"/>
      <c r="AY21" s="23"/>
      <c r="AZ21" s="23"/>
      <c r="BA21" s="24"/>
      <c r="BB21" s="29"/>
      <c r="BC21" s="23"/>
      <c r="BD21" s="24"/>
      <c r="BE21" s="24"/>
      <c r="BF21" s="16"/>
      <c r="BG21" s="22"/>
      <c r="BH21" s="23"/>
      <c r="BI21" s="24"/>
      <c r="BJ21" s="24"/>
      <c r="BK21" s="24"/>
      <c r="BL21" s="29"/>
      <c r="BM21" s="16"/>
      <c r="BN21" s="30"/>
      <c r="BO21" s="30"/>
      <c r="BP21" s="30"/>
      <c r="BQ21" s="22"/>
      <c r="BR21" s="23"/>
      <c r="BS21" s="24"/>
      <c r="BT21" s="24"/>
      <c r="BU21" s="24"/>
      <c r="BV21" s="22"/>
      <c r="BW21" s="23"/>
      <c r="BX21" s="24"/>
      <c r="BY21" s="24"/>
      <c r="BZ21" s="24"/>
      <c r="CA21" s="22"/>
      <c r="CB21" s="23"/>
      <c r="CC21" s="24"/>
      <c r="CD21" s="24"/>
      <c r="CE21" s="24"/>
      <c r="CF21" s="27"/>
      <c r="CG21" s="23"/>
      <c r="CH21" s="24"/>
      <c r="CI21" s="24"/>
      <c r="CJ21" s="24"/>
      <c r="CK21" s="29"/>
      <c r="CL21" s="16"/>
      <c r="CM21" s="31"/>
      <c r="CN21" s="31"/>
      <c r="CO21" s="31"/>
      <c r="CP21" s="29"/>
      <c r="CQ21" s="16"/>
      <c r="CR21" s="31"/>
      <c r="CS21" s="31"/>
      <c r="CT21" s="32"/>
      <c r="CU21" s="33"/>
      <c r="CV21" s="16"/>
      <c r="CW21" s="31"/>
      <c r="CX21" s="31"/>
      <c r="CY21" s="31"/>
      <c r="CZ21" s="16"/>
      <c r="DA21" s="29"/>
      <c r="DB21" s="16"/>
      <c r="DC21" s="31"/>
      <c r="DD21" s="31"/>
      <c r="DE21" s="31"/>
      <c r="DF21" s="29"/>
      <c r="DG21" s="16"/>
      <c r="DH21" s="31"/>
      <c r="DI21" s="31"/>
      <c r="DJ21" s="31"/>
      <c r="DK21" s="29"/>
      <c r="DL21" s="16"/>
      <c r="DM21" s="31"/>
      <c r="DN21" s="31"/>
      <c r="DO21" s="31"/>
      <c r="DP21" s="33"/>
      <c r="DQ21" s="16"/>
      <c r="DR21" s="31"/>
      <c r="DS21" s="31"/>
      <c r="DT21" s="31"/>
      <c r="DU21" s="33"/>
      <c r="DV21" s="16"/>
      <c r="DW21" s="31"/>
      <c r="DX21" s="31"/>
      <c r="DY21" s="31"/>
      <c r="DZ21" s="33"/>
      <c r="EA21" s="16"/>
      <c r="EB21" s="31"/>
      <c r="EC21" s="31"/>
      <c r="ED21" s="31"/>
      <c r="EE21" s="33"/>
      <c r="EF21" s="16"/>
      <c r="EG21" s="31"/>
      <c r="EH21" s="31"/>
      <c r="EI21" s="31"/>
      <c r="EJ21" s="33"/>
      <c r="EK21" s="16"/>
      <c r="EL21" s="31"/>
      <c r="EM21" s="31"/>
      <c r="EN21" s="31"/>
      <c r="EO21" s="33"/>
      <c r="EP21" s="16"/>
      <c r="EQ21" s="31"/>
      <c r="ER21" s="31"/>
      <c r="ES21" s="31"/>
      <c r="ET21" s="33"/>
      <c r="EU21" s="16"/>
      <c r="EV21" s="31"/>
      <c r="EW21" s="31"/>
      <c r="EX21" s="31"/>
      <c r="EY21" s="33"/>
      <c r="EZ21" s="16"/>
      <c r="FA21" s="31"/>
      <c r="FB21" s="31"/>
      <c r="FC21" s="31"/>
      <c r="FD21" s="33"/>
      <c r="FE21" s="16"/>
      <c r="FF21" s="31"/>
      <c r="FG21" s="31"/>
      <c r="FH21" s="31"/>
      <c r="FI21" s="33"/>
      <c r="FJ21" s="16"/>
      <c r="FK21" s="31"/>
      <c r="FL21" s="31"/>
      <c r="FM21" s="31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</row>
    <row r="22" spans="2:256" ht="30" customHeight="1" x14ac:dyDescent="0.25">
      <c r="B22" s="14"/>
      <c r="C22" s="129"/>
      <c r="D22" s="130"/>
      <c r="E22" s="104"/>
      <c r="F22" s="105"/>
      <c r="G22" s="126"/>
      <c r="H22" s="104"/>
      <c r="I22" s="104">
        <f t="shared" si="0"/>
        <v>1.3333333333333333</v>
      </c>
      <c r="J22" s="116"/>
      <c r="K22" s="107"/>
      <c r="L22" s="107"/>
      <c r="M22" s="107"/>
      <c r="N22" s="108"/>
      <c r="O22" s="109"/>
      <c r="P22" s="109"/>
      <c r="Q22" s="109"/>
      <c r="R22" s="107"/>
      <c r="S22" s="107"/>
      <c r="T22" s="107"/>
      <c r="U22" s="107"/>
      <c r="V22" s="107"/>
      <c r="W22" s="107"/>
      <c r="X22" s="110"/>
      <c r="Y22" s="107"/>
      <c r="Z22" s="107">
        <f t="shared" si="1"/>
        <v>0</v>
      </c>
      <c r="AA22" s="110"/>
      <c r="AB22" s="110"/>
      <c r="AC22" s="110"/>
      <c r="AD22" s="110"/>
      <c r="AE22" s="110"/>
      <c r="AF22" s="110"/>
      <c r="AG22" s="24"/>
      <c r="AH22" s="24"/>
      <c r="AI22" s="24"/>
      <c r="AJ22" s="35"/>
      <c r="AK22" s="25"/>
      <c r="AL22" s="26"/>
      <c r="AM22" s="26"/>
      <c r="AN22" s="24"/>
      <c r="AO22" s="24"/>
      <c r="AP22" s="25"/>
      <c r="AQ22" s="26"/>
      <c r="AR22" s="26"/>
      <c r="AS22" s="24"/>
      <c r="AT22" s="24"/>
      <c r="AU22" s="16"/>
      <c r="AV22" s="22"/>
      <c r="AW22" s="22"/>
      <c r="AX22" s="23"/>
      <c r="AY22" s="23"/>
      <c r="AZ22" s="23"/>
      <c r="BA22" s="24"/>
      <c r="BB22" s="29"/>
      <c r="BC22" s="23"/>
      <c r="BD22" s="24"/>
      <c r="BE22" s="24"/>
      <c r="BF22" s="16"/>
      <c r="BG22" s="22"/>
      <c r="BH22" s="23"/>
      <c r="BI22" s="24"/>
      <c r="BJ22" s="24"/>
      <c r="BK22" s="24"/>
      <c r="BL22" s="29"/>
      <c r="BM22" s="16"/>
      <c r="BN22" s="30"/>
      <c r="BO22" s="30"/>
      <c r="BP22" s="30"/>
      <c r="BQ22" s="22"/>
      <c r="BR22" s="23"/>
      <c r="BS22" s="24"/>
      <c r="BT22" s="24"/>
      <c r="BU22" s="24"/>
      <c r="BV22" s="22"/>
      <c r="BW22" s="23"/>
      <c r="BX22" s="24"/>
      <c r="BY22" s="24"/>
      <c r="BZ22" s="24"/>
      <c r="CA22" s="22"/>
      <c r="CB22" s="23"/>
      <c r="CC22" s="24"/>
      <c r="CD22" s="24"/>
      <c r="CE22" s="24"/>
      <c r="CF22" s="27"/>
      <c r="CG22" s="23"/>
      <c r="CH22" s="24"/>
      <c r="CI22" s="24"/>
      <c r="CJ22" s="24"/>
      <c r="CK22" s="29"/>
      <c r="CL22" s="16"/>
      <c r="CM22" s="31"/>
      <c r="CN22" s="31"/>
      <c r="CO22" s="31"/>
      <c r="CP22" s="29"/>
      <c r="CQ22" s="16"/>
      <c r="CR22" s="31"/>
      <c r="CS22" s="31"/>
      <c r="CT22" s="32"/>
      <c r="CU22" s="33"/>
      <c r="CV22" s="16"/>
      <c r="CW22" s="31"/>
      <c r="CX22" s="31"/>
      <c r="CY22" s="31"/>
      <c r="CZ22" s="16"/>
      <c r="DA22" s="29"/>
      <c r="DB22" s="16"/>
      <c r="DC22" s="31"/>
      <c r="DD22" s="31"/>
      <c r="DE22" s="31"/>
      <c r="DF22" s="29"/>
      <c r="DG22" s="16"/>
      <c r="DH22" s="31"/>
      <c r="DI22" s="31"/>
      <c r="DJ22" s="31"/>
      <c r="DK22" s="29"/>
      <c r="DL22" s="16"/>
      <c r="DM22" s="31"/>
      <c r="DN22" s="31"/>
      <c r="DO22" s="31"/>
      <c r="DP22" s="33"/>
      <c r="DQ22" s="16"/>
      <c r="DR22" s="31"/>
      <c r="DS22" s="31"/>
      <c r="DT22" s="31"/>
      <c r="DU22" s="33"/>
      <c r="DV22" s="16"/>
      <c r="DW22" s="31"/>
      <c r="DX22" s="31"/>
      <c r="DY22" s="31"/>
      <c r="DZ22" s="33"/>
      <c r="EA22" s="16"/>
      <c r="EB22" s="31"/>
      <c r="EC22" s="31"/>
      <c r="ED22" s="31"/>
      <c r="EE22" s="33"/>
      <c r="EF22" s="16"/>
      <c r="EG22" s="31"/>
      <c r="EH22" s="31"/>
      <c r="EI22" s="31"/>
      <c r="EJ22" s="33"/>
      <c r="EK22" s="16"/>
      <c r="EL22" s="31"/>
      <c r="EM22" s="31"/>
      <c r="EN22" s="31"/>
      <c r="EO22" s="33"/>
      <c r="EP22" s="16"/>
      <c r="EQ22" s="31"/>
      <c r="ER22" s="31"/>
      <c r="ES22" s="31"/>
      <c r="ET22" s="33"/>
      <c r="EU22" s="16"/>
      <c r="EV22" s="31"/>
      <c r="EW22" s="31"/>
      <c r="EX22" s="31"/>
      <c r="EY22" s="33"/>
      <c r="EZ22" s="16"/>
      <c r="FA22" s="31"/>
      <c r="FB22" s="31"/>
      <c r="FC22" s="31"/>
      <c r="FD22" s="33"/>
      <c r="FE22" s="16"/>
      <c r="FF22" s="31"/>
      <c r="FG22" s="31"/>
      <c r="FH22" s="31"/>
      <c r="FI22" s="33"/>
      <c r="FJ22" s="16"/>
      <c r="FK22" s="31"/>
      <c r="FL22" s="31"/>
      <c r="FM22" s="31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</row>
    <row r="23" spans="2:256" ht="30" customHeight="1" x14ac:dyDescent="0.25">
      <c r="B23" s="14"/>
      <c r="C23" s="131" t="s">
        <v>273</v>
      </c>
      <c r="D23" s="114" t="s">
        <v>274</v>
      </c>
      <c r="E23" s="132">
        <f>E21+E13+E15+E9</f>
        <v>49237500</v>
      </c>
      <c r="F23" s="132">
        <f>F21+F13+F15+F9</f>
        <v>0</v>
      </c>
      <c r="G23" s="132">
        <f>G21+G13+G15+G9</f>
        <v>49837762</v>
      </c>
      <c r="H23" s="132">
        <f>H21+H13+H15+H9</f>
        <v>53507000</v>
      </c>
      <c r="I23" s="104">
        <f t="shared" si="0"/>
        <v>1.3333333333333333</v>
      </c>
      <c r="J23" s="116"/>
      <c r="K23" s="133">
        <f t="shared" ref="K23:AD23" si="8">K21+K13+K15+K9</f>
        <v>59040000</v>
      </c>
      <c r="L23" s="133">
        <f t="shared" si="8"/>
        <v>37302760.799999997</v>
      </c>
      <c r="M23" s="133">
        <f t="shared" si="8"/>
        <v>44103264</v>
      </c>
      <c r="N23" s="133">
        <f t="shared" si="8"/>
        <v>33424452</v>
      </c>
      <c r="O23" s="134">
        <f t="shared" si="8"/>
        <v>59469231.666666672</v>
      </c>
      <c r="P23" s="134">
        <f t="shared" si="8"/>
        <v>35883354</v>
      </c>
      <c r="Q23" s="134">
        <f t="shared" si="8"/>
        <v>25712360.285714284</v>
      </c>
      <c r="R23" s="133">
        <f t="shared" si="8"/>
        <v>62325000</v>
      </c>
      <c r="S23" s="133">
        <f t="shared" si="8"/>
        <v>62325000</v>
      </c>
      <c r="T23" s="133">
        <f t="shared" si="8"/>
        <v>60833225</v>
      </c>
      <c r="U23" s="133">
        <f t="shared" si="8"/>
        <v>62350000</v>
      </c>
      <c r="V23" s="133">
        <f t="shared" si="8"/>
        <v>31110575</v>
      </c>
      <c r="W23" s="133">
        <f t="shared" si="8"/>
        <v>61820978</v>
      </c>
      <c r="X23" s="133">
        <f t="shared" si="8"/>
        <v>64791000</v>
      </c>
      <c r="Y23" s="133">
        <f t="shared" si="8"/>
        <v>51248026</v>
      </c>
      <c r="Z23" s="133">
        <f t="shared" si="8"/>
        <v>61498189</v>
      </c>
      <c r="AA23" s="133">
        <f t="shared" si="8"/>
        <v>65844000</v>
      </c>
      <c r="AB23" s="133">
        <f t="shared" si="8"/>
        <v>51177452</v>
      </c>
      <c r="AC23" s="133">
        <f t="shared" si="8"/>
        <v>65562200</v>
      </c>
      <c r="AD23" s="133">
        <f t="shared" si="8"/>
        <v>67533000</v>
      </c>
      <c r="AE23" s="133">
        <f>AE21+AE13+AE15+AE9</f>
        <v>71370000</v>
      </c>
      <c r="AF23" s="133">
        <f>AF21+AF13+AF15+AF9</f>
        <v>73370000</v>
      </c>
      <c r="AG23" s="24"/>
      <c r="AH23" s="24"/>
      <c r="AI23" s="24"/>
      <c r="AJ23" s="16"/>
      <c r="AK23" s="16"/>
      <c r="AL23" s="16"/>
      <c r="AM23" s="16"/>
      <c r="AN23" s="24"/>
      <c r="AO23" s="24"/>
      <c r="AP23" s="23"/>
      <c r="AQ23" s="24"/>
      <c r="AR23" s="24"/>
      <c r="AS23" s="24"/>
      <c r="AT23" s="24"/>
      <c r="AU23" s="16"/>
      <c r="AV23" s="16"/>
      <c r="AW23" s="16"/>
      <c r="AX23" s="16"/>
      <c r="AY23" s="16"/>
      <c r="AZ23" s="16"/>
      <c r="BA23" s="24"/>
      <c r="BB23" s="22"/>
      <c r="BC23" s="23"/>
      <c r="BD23" s="24"/>
      <c r="BE23" s="24"/>
      <c r="BF23" s="16"/>
      <c r="BG23" s="22"/>
      <c r="BH23" s="23"/>
      <c r="BI23" s="24"/>
      <c r="BJ23" s="24"/>
      <c r="BK23" s="24"/>
      <c r="BL23" s="16"/>
      <c r="BM23" s="16"/>
      <c r="BN23" s="30"/>
      <c r="BO23" s="30"/>
      <c r="BP23" s="30"/>
      <c r="BQ23" s="22"/>
      <c r="BR23" s="23"/>
      <c r="BS23" s="24"/>
      <c r="BT23" s="24"/>
      <c r="BU23" s="24"/>
      <c r="BV23" s="22"/>
      <c r="BW23" s="23"/>
      <c r="BX23" s="24"/>
      <c r="BY23" s="24"/>
      <c r="BZ23" s="24"/>
      <c r="CA23" s="22"/>
      <c r="CB23" s="23"/>
      <c r="CC23" s="24"/>
      <c r="CD23" s="24"/>
      <c r="CE23" s="24"/>
      <c r="CF23" s="27"/>
      <c r="CG23" s="23"/>
      <c r="CH23" s="24"/>
      <c r="CI23" s="24"/>
      <c r="CJ23" s="24"/>
      <c r="CK23" s="29"/>
      <c r="CL23" s="16"/>
      <c r="CM23" s="31"/>
      <c r="CN23" s="31"/>
      <c r="CO23" s="31"/>
      <c r="CP23" s="29"/>
      <c r="CQ23" s="16"/>
      <c r="CR23" s="31"/>
      <c r="CS23" s="31"/>
      <c r="CT23" s="32"/>
      <c r="CU23" s="33"/>
      <c r="CV23" s="16"/>
      <c r="CW23" s="31"/>
      <c r="CX23" s="31"/>
      <c r="CY23" s="31"/>
      <c r="CZ23" s="16"/>
      <c r="DA23" s="29"/>
      <c r="DB23" s="16"/>
      <c r="DC23" s="31"/>
      <c r="DD23" s="31"/>
      <c r="DE23" s="31"/>
      <c r="DF23" s="29"/>
      <c r="DG23" s="16"/>
      <c r="DH23" s="31"/>
      <c r="DI23" s="31"/>
      <c r="DJ23" s="31"/>
      <c r="DK23" s="29"/>
      <c r="DL23" s="16"/>
      <c r="DM23" s="31"/>
      <c r="DN23" s="31"/>
      <c r="DO23" s="31"/>
      <c r="DP23" s="33"/>
      <c r="DQ23" s="16"/>
      <c r="DR23" s="31"/>
      <c r="DS23" s="31"/>
      <c r="DT23" s="31"/>
      <c r="DU23" s="33"/>
      <c r="DV23" s="16"/>
      <c r="DW23" s="31"/>
      <c r="DX23" s="31"/>
      <c r="DY23" s="31"/>
      <c r="DZ23" s="33"/>
      <c r="EA23" s="16"/>
      <c r="EB23" s="31"/>
      <c r="EC23" s="31"/>
      <c r="ED23" s="31"/>
      <c r="EE23" s="33"/>
      <c r="EF23" s="16"/>
      <c r="EG23" s="31"/>
      <c r="EH23" s="31"/>
      <c r="EI23" s="31"/>
      <c r="EJ23" s="33"/>
      <c r="EK23" s="16"/>
      <c r="EL23" s="31"/>
      <c r="EM23" s="31"/>
      <c r="EN23" s="31"/>
      <c r="EO23" s="33"/>
      <c r="EP23" s="16"/>
      <c r="EQ23" s="31"/>
      <c r="ER23" s="31"/>
      <c r="ES23" s="31"/>
      <c r="ET23" s="33"/>
      <c r="EU23" s="16"/>
      <c r="EV23" s="31"/>
      <c r="EW23" s="31"/>
      <c r="EX23" s="31"/>
      <c r="EY23" s="33"/>
      <c r="EZ23" s="16"/>
      <c r="FA23" s="31"/>
      <c r="FB23" s="31"/>
      <c r="FC23" s="31"/>
      <c r="FD23" s="33"/>
      <c r="FE23" s="16"/>
      <c r="FF23" s="31"/>
      <c r="FG23" s="31"/>
      <c r="FH23" s="31"/>
      <c r="FI23" s="33"/>
      <c r="FJ23" s="16"/>
      <c r="FK23" s="31"/>
      <c r="FL23" s="31"/>
      <c r="FM23" s="31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</row>
    <row r="24" spans="2:256" ht="30" customHeight="1" x14ac:dyDescent="0.25">
      <c r="B24" s="14"/>
      <c r="C24" s="135"/>
      <c r="D24" s="136"/>
      <c r="E24" s="104"/>
      <c r="F24" s="105"/>
      <c r="G24" s="126"/>
      <c r="H24" s="104"/>
      <c r="I24" s="104">
        <f t="shared" si="0"/>
        <v>1.3333333333333333</v>
      </c>
      <c r="J24" s="116"/>
      <c r="K24" s="107"/>
      <c r="L24" s="107"/>
      <c r="M24" s="107"/>
      <c r="N24" s="108"/>
      <c r="O24" s="109"/>
      <c r="P24" s="109"/>
      <c r="Q24" s="109"/>
      <c r="R24" s="108"/>
      <c r="S24" s="107"/>
      <c r="T24" s="107"/>
      <c r="U24" s="107"/>
      <c r="V24" s="107"/>
      <c r="W24" s="107"/>
      <c r="X24" s="110"/>
      <c r="Y24" s="107"/>
      <c r="Z24" s="107">
        <f t="shared" si="1"/>
        <v>0</v>
      </c>
      <c r="AA24" s="110"/>
      <c r="AB24" s="110"/>
      <c r="AC24" s="110"/>
      <c r="AD24" s="110"/>
      <c r="AE24" s="137"/>
      <c r="AF24" s="137"/>
      <c r="AG24" s="24"/>
      <c r="AH24" s="24"/>
      <c r="AI24" s="24"/>
      <c r="AJ24" s="16"/>
      <c r="AK24" s="16"/>
      <c r="AL24" s="16"/>
      <c r="AM24" s="16"/>
      <c r="AN24" s="24"/>
      <c r="AO24" s="24"/>
      <c r="AP24" s="23"/>
      <c r="AQ24" s="24"/>
      <c r="AR24" s="24"/>
      <c r="AS24" s="24"/>
      <c r="AT24" s="24"/>
      <c r="AU24" s="16"/>
      <c r="AV24" s="16"/>
      <c r="AW24" s="16"/>
      <c r="AX24" s="16"/>
      <c r="AY24" s="16"/>
      <c r="AZ24" s="16"/>
      <c r="BA24" s="24"/>
      <c r="BB24" s="22"/>
      <c r="BC24" s="23"/>
      <c r="BD24" s="24"/>
      <c r="BE24" s="24"/>
      <c r="BF24" s="16"/>
      <c r="BG24" s="22"/>
      <c r="BH24" s="23"/>
      <c r="BI24" s="24"/>
      <c r="BJ24" s="24"/>
      <c r="BK24" s="24"/>
      <c r="BL24" s="16"/>
      <c r="BM24" s="16"/>
      <c r="BN24" s="30"/>
      <c r="BO24" s="30"/>
      <c r="BP24" s="30"/>
      <c r="BQ24" s="22"/>
      <c r="BR24" s="23"/>
      <c r="BS24" s="24"/>
      <c r="BT24" s="24"/>
      <c r="BU24" s="24"/>
      <c r="BV24" s="22"/>
      <c r="BW24" s="23"/>
      <c r="BX24" s="24"/>
      <c r="BY24" s="24"/>
      <c r="BZ24" s="24"/>
      <c r="CA24" s="22"/>
      <c r="CB24" s="23"/>
      <c r="CC24" s="24"/>
      <c r="CD24" s="24"/>
      <c r="CE24" s="24"/>
      <c r="CF24" s="27"/>
      <c r="CG24" s="23"/>
      <c r="CH24" s="24"/>
      <c r="CI24" s="24"/>
      <c r="CJ24" s="24"/>
      <c r="CK24" s="29"/>
      <c r="CL24" s="16"/>
      <c r="CM24" s="31"/>
      <c r="CN24" s="31"/>
      <c r="CO24" s="31"/>
      <c r="CP24" s="29"/>
      <c r="CQ24" s="16"/>
      <c r="CR24" s="31"/>
      <c r="CS24" s="31"/>
      <c r="CT24" s="32"/>
      <c r="CU24" s="33"/>
      <c r="CV24" s="16"/>
      <c r="CW24" s="31"/>
      <c r="CX24" s="31"/>
      <c r="CY24" s="31"/>
      <c r="CZ24" s="16"/>
      <c r="DA24" s="29"/>
      <c r="DB24" s="16"/>
      <c r="DC24" s="31"/>
      <c r="DD24" s="31"/>
      <c r="DE24" s="31"/>
      <c r="DF24" s="29"/>
      <c r="DG24" s="16"/>
      <c r="DH24" s="31"/>
      <c r="DI24" s="31"/>
      <c r="DJ24" s="31"/>
      <c r="DK24" s="29"/>
      <c r="DL24" s="16"/>
      <c r="DM24" s="31"/>
      <c r="DN24" s="31"/>
      <c r="DO24" s="31"/>
      <c r="DP24" s="33"/>
      <c r="DQ24" s="16"/>
      <c r="DR24" s="31"/>
      <c r="DS24" s="31"/>
      <c r="DT24" s="31"/>
      <c r="DU24" s="33"/>
      <c r="DV24" s="16"/>
      <c r="DW24" s="31"/>
      <c r="DX24" s="31"/>
      <c r="DY24" s="31"/>
      <c r="DZ24" s="33"/>
      <c r="EA24" s="16"/>
      <c r="EB24" s="31"/>
      <c r="EC24" s="31"/>
      <c r="ED24" s="31"/>
      <c r="EE24" s="33"/>
      <c r="EF24" s="16"/>
      <c r="EG24" s="31"/>
      <c r="EH24" s="31"/>
      <c r="EI24" s="31"/>
      <c r="EJ24" s="33"/>
      <c r="EK24" s="16"/>
      <c r="EL24" s="31"/>
      <c r="EM24" s="31"/>
      <c r="EN24" s="31"/>
      <c r="EO24" s="33"/>
      <c r="EP24" s="16"/>
      <c r="EQ24" s="31"/>
      <c r="ER24" s="31"/>
      <c r="ES24" s="31"/>
      <c r="ET24" s="33"/>
      <c r="EU24" s="16"/>
      <c r="EV24" s="31"/>
      <c r="EW24" s="31"/>
      <c r="EX24" s="31"/>
      <c r="EY24" s="33"/>
      <c r="EZ24" s="16"/>
      <c r="FA24" s="31"/>
      <c r="FB24" s="31"/>
      <c r="FC24" s="31"/>
      <c r="FD24" s="33"/>
      <c r="FE24" s="16"/>
      <c r="FF24" s="31"/>
      <c r="FG24" s="31"/>
      <c r="FH24" s="31"/>
      <c r="FI24" s="33"/>
      <c r="FJ24" s="16"/>
      <c r="FK24" s="31"/>
      <c r="FL24" s="31"/>
      <c r="FM24" s="31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</row>
    <row r="25" spans="2:256" ht="30" customHeight="1" x14ac:dyDescent="0.25">
      <c r="B25" s="14">
        <v>9298</v>
      </c>
      <c r="C25" s="102">
        <v>213000.22</v>
      </c>
      <c r="D25" s="103" t="s">
        <v>341</v>
      </c>
      <c r="E25" s="104">
        <v>13000</v>
      </c>
      <c r="F25" s="105"/>
      <c r="G25" s="126">
        <v>7200</v>
      </c>
      <c r="H25" s="104">
        <f>190000-25000-150000</f>
        <v>15000</v>
      </c>
      <c r="I25" s="104">
        <f t="shared" si="0"/>
        <v>1.3333333333333333</v>
      </c>
      <c r="J25" s="116"/>
      <c r="K25" s="107">
        <v>10000</v>
      </c>
      <c r="L25" s="107">
        <v>10315</v>
      </c>
      <c r="M25" s="107">
        <v>12233</v>
      </c>
      <c r="N25" s="108"/>
      <c r="O25" s="109">
        <f>M25*4/3</f>
        <v>16310.666666666666</v>
      </c>
      <c r="P25" s="109">
        <v>13013</v>
      </c>
      <c r="Q25" s="109">
        <v>6987</v>
      </c>
      <c r="R25" s="107">
        <v>20000</v>
      </c>
      <c r="S25" s="107">
        <f>Q25+P25</f>
        <v>20000</v>
      </c>
      <c r="T25" s="107">
        <f>Q25+P25</f>
        <v>20000</v>
      </c>
      <c r="U25" s="107">
        <f>S25</f>
        <v>20000</v>
      </c>
      <c r="V25" s="107">
        <f>12604+2000</f>
        <v>14604</v>
      </c>
      <c r="W25" s="107">
        <f>V25*2</f>
        <v>29208</v>
      </c>
      <c r="X25" s="110">
        <f>U25</f>
        <v>20000</v>
      </c>
      <c r="Y25" s="107">
        <v>17351</v>
      </c>
      <c r="Z25" s="107">
        <f t="shared" si="1"/>
        <v>20821.2</v>
      </c>
      <c r="AA25" s="110">
        <v>20000</v>
      </c>
      <c r="AB25" s="110">
        <v>32217</v>
      </c>
      <c r="AC25" s="110">
        <v>38000</v>
      </c>
      <c r="AD25" s="108">
        <v>38000</v>
      </c>
      <c r="AE25" s="111">
        <v>13000</v>
      </c>
      <c r="AF25" s="111">
        <v>13700</v>
      </c>
      <c r="AG25" s="24"/>
      <c r="AH25" s="24"/>
      <c r="AI25" s="24"/>
      <c r="AJ25" s="22"/>
      <c r="AK25" s="25"/>
      <c r="AL25" s="26"/>
      <c r="AM25" s="26"/>
      <c r="AN25" s="24"/>
      <c r="AO25" s="24"/>
      <c r="AP25" s="16"/>
      <c r="AQ25" s="24"/>
      <c r="AR25" s="24"/>
      <c r="AS25" s="24"/>
      <c r="AT25" s="24"/>
      <c r="AU25" s="16"/>
      <c r="AV25" s="29"/>
      <c r="AW25" s="29"/>
      <c r="AX25" s="16"/>
      <c r="AY25" s="16"/>
      <c r="AZ25" s="16"/>
      <c r="BA25" s="24"/>
      <c r="BB25" s="22"/>
      <c r="BC25" s="23"/>
      <c r="BD25" s="24"/>
      <c r="BE25" s="24"/>
      <c r="BF25" s="24"/>
      <c r="BG25" s="22"/>
      <c r="BH25" s="23"/>
      <c r="BI25" s="24"/>
      <c r="BJ25" s="24"/>
      <c r="BK25" s="24"/>
      <c r="BL25" s="16"/>
      <c r="BM25" s="16"/>
      <c r="BN25" s="16"/>
      <c r="BO25" s="16"/>
      <c r="BP25" s="16"/>
      <c r="BQ25" s="22"/>
      <c r="BR25" s="23"/>
      <c r="BS25" s="24"/>
      <c r="BT25" s="24"/>
      <c r="BU25" s="24"/>
      <c r="BV25" s="22"/>
      <c r="BW25" s="23"/>
      <c r="BX25" s="24"/>
      <c r="BY25" s="24"/>
      <c r="BZ25" s="24"/>
      <c r="CA25" s="22"/>
      <c r="CB25" s="23"/>
      <c r="CC25" s="24"/>
      <c r="CD25" s="24"/>
      <c r="CE25" s="24"/>
      <c r="CF25" s="27"/>
      <c r="CG25" s="23"/>
      <c r="CH25" s="24"/>
      <c r="CI25" s="24"/>
      <c r="CJ25" s="24"/>
      <c r="CK25" s="29"/>
      <c r="CL25" s="16"/>
      <c r="CM25" s="31"/>
      <c r="CN25" s="31"/>
      <c r="CO25" s="31"/>
      <c r="CP25" s="29"/>
      <c r="CQ25" s="16"/>
      <c r="CR25" s="31"/>
      <c r="CS25" s="31"/>
      <c r="CT25" s="32"/>
      <c r="CU25" s="33"/>
      <c r="CV25" s="16"/>
      <c r="CW25" s="31"/>
      <c r="CX25" s="31"/>
      <c r="CY25" s="31"/>
      <c r="CZ25" s="16"/>
      <c r="DA25" s="29"/>
      <c r="DB25" s="16"/>
      <c r="DC25" s="31"/>
      <c r="DD25" s="31"/>
      <c r="DE25" s="31"/>
      <c r="DF25" s="29"/>
      <c r="DG25" s="16"/>
      <c r="DH25" s="31"/>
      <c r="DI25" s="31"/>
      <c r="DJ25" s="31"/>
      <c r="DK25" s="29"/>
      <c r="DL25" s="16"/>
      <c r="DM25" s="31"/>
      <c r="DN25" s="31"/>
      <c r="DO25" s="31"/>
      <c r="DP25" s="33"/>
      <c r="DQ25" s="16"/>
      <c r="DR25" s="31"/>
      <c r="DS25" s="31"/>
      <c r="DT25" s="31"/>
      <c r="DU25" s="33"/>
      <c r="DV25" s="16"/>
      <c r="DW25" s="31"/>
      <c r="DX25" s="31"/>
      <c r="DY25" s="31"/>
      <c r="DZ25" s="33"/>
      <c r="EA25" s="16"/>
      <c r="EB25" s="31"/>
      <c r="EC25" s="31"/>
      <c r="ED25" s="31"/>
      <c r="EE25" s="29"/>
      <c r="EF25" s="16"/>
      <c r="EG25" s="31"/>
      <c r="EH25" s="31"/>
      <c r="EI25" s="31"/>
      <c r="EJ25" s="29"/>
      <c r="EK25" s="16"/>
      <c r="EL25" s="31"/>
      <c r="EM25" s="31"/>
      <c r="EN25" s="31"/>
      <c r="EO25" s="29"/>
      <c r="EP25" s="16"/>
      <c r="EQ25" s="31"/>
      <c r="ER25" s="31"/>
      <c r="ES25" s="31"/>
      <c r="ET25" s="29"/>
      <c r="EU25" s="16"/>
      <c r="EV25" s="31"/>
      <c r="EW25" s="31"/>
      <c r="EX25" s="31"/>
      <c r="EY25" s="29"/>
      <c r="EZ25" s="16"/>
      <c r="FA25" s="31"/>
      <c r="FB25" s="31"/>
      <c r="FC25" s="31"/>
      <c r="FD25" s="29"/>
      <c r="FE25" s="16"/>
      <c r="FF25" s="31"/>
      <c r="FG25" s="31"/>
      <c r="FH25" s="31"/>
      <c r="FI25" s="29"/>
      <c r="FJ25" s="16"/>
      <c r="FK25" s="31"/>
      <c r="FL25" s="31"/>
      <c r="FM25" s="31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</row>
    <row r="26" spans="2:256" ht="30" customHeight="1" x14ac:dyDescent="0.25">
      <c r="B26" s="14"/>
      <c r="C26" s="102">
        <v>214200.22</v>
      </c>
      <c r="D26" s="103" t="s">
        <v>630</v>
      </c>
      <c r="E26" s="104"/>
      <c r="F26" s="105"/>
      <c r="G26" s="126"/>
      <c r="H26" s="104"/>
      <c r="I26" s="104"/>
      <c r="J26" s="116"/>
      <c r="K26" s="107"/>
      <c r="L26" s="107"/>
      <c r="M26" s="107"/>
      <c r="N26" s="108"/>
      <c r="O26" s="109"/>
      <c r="P26" s="109"/>
      <c r="Q26" s="109"/>
      <c r="R26" s="107"/>
      <c r="S26" s="107"/>
      <c r="T26" s="107"/>
      <c r="U26" s="107"/>
      <c r="V26" s="107"/>
      <c r="W26" s="107"/>
      <c r="X26" s="110"/>
      <c r="Y26" s="107"/>
      <c r="Z26" s="107"/>
      <c r="AA26" s="110"/>
      <c r="AB26" s="110">
        <v>170000</v>
      </c>
      <c r="AC26" s="110">
        <f>AB26*12/10</f>
        <v>204000</v>
      </c>
      <c r="AD26" s="108">
        <f>AC26</f>
        <v>204000</v>
      </c>
      <c r="AE26" s="111">
        <v>212000</v>
      </c>
      <c r="AF26" s="111">
        <v>212000</v>
      </c>
      <c r="AG26" s="24"/>
      <c r="AH26" s="24"/>
      <c r="AI26" s="24"/>
      <c r="AJ26" s="22"/>
      <c r="AK26" s="25"/>
      <c r="AL26" s="26"/>
      <c r="AM26" s="26"/>
      <c r="AN26" s="24"/>
      <c r="AO26" s="24"/>
      <c r="AP26" s="16"/>
      <c r="AQ26" s="24"/>
      <c r="AR26" s="24"/>
      <c r="AS26" s="24"/>
      <c r="AT26" s="24"/>
      <c r="AU26" s="16"/>
      <c r="AV26" s="29"/>
      <c r="AW26" s="29"/>
      <c r="AX26" s="16"/>
      <c r="AY26" s="16"/>
      <c r="AZ26" s="16"/>
      <c r="BA26" s="24"/>
      <c r="BB26" s="22"/>
      <c r="BC26" s="23"/>
      <c r="BD26" s="24"/>
      <c r="BE26" s="24"/>
      <c r="BF26" s="24"/>
      <c r="BG26" s="22"/>
      <c r="BH26" s="23"/>
      <c r="BI26" s="24"/>
      <c r="BJ26" s="24"/>
      <c r="BK26" s="24"/>
      <c r="BL26" s="16"/>
      <c r="BM26" s="16"/>
      <c r="BN26" s="16"/>
      <c r="BO26" s="16"/>
      <c r="BP26" s="16"/>
      <c r="BQ26" s="22"/>
      <c r="BR26" s="23"/>
      <c r="BS26" s="24"/>
      <c r="BT26" s="24"/>
      <c r="BU26" s="24"/>
      <c r="BV26" s="22"/>
      <c r="BW26" s="23"/>
      <c r="BX26" s="24"/>
      <c r="BY26" s="24"/>
      <c r="BZ26" s="24"/>
      <c r="CA26" s="22"/>
      <c r="CB26" s="23"/>
      <c r="CC26" s="24"/>
      <c r="CD26" s="24"/>
      <c r="CE26" s="24"/>
      <c r="CF26" s="27"/>
      <c r="CG26" s="23"/>
      <c r="CH26" s="24"/>
      <c r="CI26" s="24"/>
      <c r="CJ26" s="24"/>
      <c r="CK26" s="29"/>
      <c r="CL26" s="16"/>
      <c r="CM26" s="31"/>
      <c r="CN26" s="31"/>
      <c r="CO26" s="31"/>
      <c r="CP26" s="29"/>
      <c r="CQ26" s="16"/>
      <c r="CR26" s="31"/>
      <c r="CS26" s="31"/>
      <c r="CT26" s="32"/>
      <c r="CU26" s="33"/>
      <c r="CV26" s="16"/>
      <c r="CW26" s="31"/>
      <c r="CX26" s="31"/>
      <c r="CY26" s="31"/>
      <c r="CZ26" s="16"/>
      <c r="DA26" s="29"/>
      <c r="DB26" s="16"/>
      <c r="DC26" s="31"/>
      <c r="DD26" s="31"/>
      <c r="DE26" s="31"/>
      <c r="DF26" s="29"/>
      <c r="DG26" s="16"/>
      <c r="DH26" s="31"/>
      <c r="DI26" s="31"/>
      <c r="DJ26" s="31"/>
      <c r="DK26" s="29"/>
      <c r="DL26" s="16"/>
      <c r="DM26" s="31"/>
      <c r="DN26" s="31"/>
      <c r="DO26" s="31"/>
      <c r="DP26" s="33"/>
      <c r="DQ26" s="16"/>
      <c r="DR26" s="31"/>
      <c r="DS26" s="31"/>
      <c r="DT26" s="31"/>
      <c r="DU26" s="33"/>
      <c r="DV26" s="16"/>
      <c r="DW26" s="31"/>
      <c r="DX26" s="31"/>
      <c r="DY26" s="31"/>
      <c r="DZ26" s="33"/>
      <c r="EA26" s="16"/>
      <c r="EB26" s="31"/>
      <c r="EC26" s="31"/>
      <c r="ED26" s="31"/>
      <c r="EE26" s="29"/>
      <c r="EF26" s="16"/>
      <c r="EG26" s="31"/>
      <c r="EH26" s="31"/>
      <c r="EI26" s="31"/>
      <c r="EJ26" s="29"/>
      <c r="EK26" s="16"/>
      <c r="EL26" s="31"/>
      <c r="EM26" s="31"/>
      <c r="EN26" s="31"/>
      <c r="EO26" s="29"/>
      <c r="EP26" s="16"/>
      <c r="EQ26" s="31"/>
      <c r="ER26" s="31"/>
      <c r="ES26" s="31"/>
      <c r="ET26" s="29"/>
      <c r="EU26" s="16"/>
      <c r="EV26" s="31"/>
      <c r="EW26" s="31"/>
      <c r="EX26" s="31"/>
      <c r="EY26" s="29"/>
      <c r="EZ26" s="16"/>
      <c r="FA26" s="31"/>
      <c r="FB26" s="31"/>
      <c r="FC26" s="31"/>
      <c r="FD26" s="29"/>
      <c r="FE26" s="16"/>
      <c r="FF26" s="31"/>
      <c r="FG26" s="31"/>
      <c r="FH26" s="31"/>
      <c r="FI26" s="29"/>
      <c r="FJ26" s="16"/>
      <c r="FK26" s="31"/>
      <c r="FL26" s="31"/>
      <c r="FM26" s="31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</row>
    <row r="27" spans="2:256" ht="30" customHeight="1" x14ac:dyDescent="0.25">
      <c r="B27" s="14"/>
      <c r="C27" s="102">
        <v>214200.22099999999</v>
      </c>
      <c r="D27" s="103" t="s">
        <v>631</v>
      </c>
      <c r="E27" s="104"/>
      <c r="F27" s="105"/>
      <c r="G27" s="126"/>
      <c r="H27" s="104"/>
      <c r="I27" s="104"/>
      <c r="J27" s="116"/>
      <c r="K27" s="107"/>
      <c r="L27" s="107"/>
      <c r="M27" s="107"/>
      <c r="N27" s="108"/>
      <c r="O27" s="109"/>
      <c r="P27" s="109"/>
      <c r="Q27" s="109"/>
      <c r="R27" s="107"/>
      <c r="S27" s="107"/>
      <c r="T27" s="107"/>
      <c r="U27" s="107"/>
      <c r="V27" s="107"/>
      <c r="W27" s="107"/>
      <c r="X27" s="110"/>
      <c r="Y27" s="107"/>
      <c r="Z27" s="107"/>
      <c r="AA27" s="110"/>
      <c r="AB27" s="110">
        <v>41000</v>
      </c>
      <c r="AC27" s="110">
        <v>62000</v>
      </c>
      <c r="AD27" s="108">
        <f>AC27</f>
        <v>62000</v>
      </c>
      <c r="AE27" s="111">
        <v>320000</v>
      </c>
      <c r="AF27" s="111">
        <v>430000</v>
      </c>
      <c r="AG27" s="24"/>
      <c r="AH27" s="24"/>
      <c r="AI27" s="24"/>
      <c r="AJ27" s="22"/>
      <c r="AK27" s="25"/>
      <c r="AL27" s="26"/>
      <c r="AM27" s="26"/>
      <c r="AN27" s="24"/>
      <c r="AO27" s="24"/>
      <c r="AP27" s="16"/>
      <c r="AQ27" s="24"/>
      <c r="AR27" s="24"/>
      <c r="AS27" s="24"/>
      <c r="AT27" s="24"/>
      <c r="AU27" s="16"/>
      <c r="AV27" s="29"/>
      <c r="AW27" s="29"/>
      <c r="AX27" s="16"/>
      <c r="AY27" s="16"/>
      <c r="AZ27" s="16"/>
      <c r="BA27" s="24"/>
      <c r="BB27" s="22"/>
      <c r="BC27" s="23"/>
      <c r="BD27" s="24"/>
      <c r="BE27" s="24"/>
      <c r="BF27" s="24"/>
      <c r="BG27" s="22"/>
      <c r="BH27" s="23"/>
      <c r="BI27" s="24"/>
      <c r="BJ27" s="24"/>
      <c r="BK27" s="24"/>
      <c r="BL27" s="16"/>
      <c r="BM27" s="16"/>
      <c r="BN27" s="16"/>
      <c r="BO27" s="16"/>
      <c r="BP27" s="16"/>
      <c r="BQ27" s="22"/>
      <c r="BR27" s="23"/>
      <c r="BS27" s="24"/>
      <c r="BT27" s="24"/>
      <c r="BU27" s="24"/>
      <c r="BV27" s="22"/>
      <c r="BW27" s="23"/>
      <c r="BX27" s="24"/>
      <c r="BY27" s="24"/>
      <c r="BZ27" s="24"/>
      <c r="CA27" s="22"/>
      <c r="CB27" s="23"/>
      <c r="CC27" s="24"/>
      <c r="CD27" s="24"/>
      <c r="CE27" s="24"/>
      <c r="CF27" s="27"/>
      <c r="CG27" s="23"/>
      <c r="CH27" s="24"/>
      <c r="CI27" s="24"/>
      <c r="CJ27" s="24"/>
      <c r="CK27" s="29"/>
      <c r="CL27" s="16"/>
      <c r="CM27" s="31"/>
      <c r="CN27" s="31"/>
      <c r="CO27" s="31"/>
      <c r="CP27" s="29"/>
      <c r="CQ27" s="16"/>
      <c r="CR27" s="31"/>
      <c r="CS27" s="31"/>
      <c r="CT27" s="32"/>
      <c r="CU27" s="33"/>
      <c r="CV27" s="16"/>
      <c r="CW27" s="31"/>
      <c r="CX27" s="31"/>
      <c r="CY27" s="31"/>
      <c r="CZ27" s="16"/>
      <c r="DA27" s="29"/>
      <c r="DB27" s="16"/>
      <c r="DC27" s="31"/>
      <c r="DD27" s="31"/>
      <c r="DE27" s="31"/>
      <c r="DF27" s="29"/>
      <c r="DG27" s="16"/>
      <c r="DH27" s="31"/>
      <c r="DI27" s="31"/>
      <c r="DJ27" s="31"/>
      <c r="DK27" s="29"/>
      <c r="DL27" s="16"/>
      <c r="DM27" s="31"/>
      <c r="DN27" s="31"/>
      <c r="DO27" s="31"/>
      <c r="DP27" s="33"/>
      <c r="DQ27" s="16"/>
      <c r="DR27" s="31"/>
      <c r="DS27" s="31"/>
      <c r="DT27" s="31"/>
      <c r="DU27" s="33"/>
      <c r="DV27" s="16"/>
      <c r="DW27" s="31"/>
      <c r="DX27" s="31"/>
      <c r="DY27" s="31"/>
      <c r="DZ27" s="33"/>
      <c r="EA27" s="16"/>
      <c r="EB27" s="31"/>
      <c r="EC27" s="31"/>
      <c r="ED27" s="31"/>
      <c r="EE27" s="29"/>
      <c r="EF27" s="16"/>
      <c r="EG27" s="31"/>
      <c r="EH27" s="31"/>
      <c r="EI27" s="31"/>
      <c r="EJ27" s="29"/>
      <c r="EK27" s="16"/>
      <c r="EL27" s="31"/>
      <c r="EM27" s="31"/>
      <c r="EN27" s="31"/>
      <c r="EO27" s="29"/>
      <c r="EP27" s="16"/>
      <c r="EQ27" s="31"/>
      <c r="ER27" s="31"/>
      <c r="ES27" s="31"/>
      <c r="ET27" s="29"/>
      <c r="EU27" s="16"/>
      <c r="EV27" s="31"/>
      <c r="EW27" s="31"/>
      <c r="EX27" s="31"/>
      <c r="EY27" s="29"/>
      <c r="EZ27" s="16"/>
      <c r="FA27" s="31"/>
      <c r="FB27" s="31"/>
      <c r="FC27" s="31"/>
      <c r="FD27" s="29"/>
      <c r="FE27" s="16"/>
      <c r="FF27" s="31"/>
      <c r="FG27" s="31"/>
      <c r="FH27" s="31"/>
      <c r="FI27" s="29"/>
      <c r="FJ27" s="16"/>
      <c r="FK27" s="31"/>
      <c r="FL27" s="31"/>
      <c r="FM27" s="31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</row>
    <row r="28" spans="2:256" ht="30" customHeight="1" x14ac:dyDescent="0.25">
      <c r="B28" s="14"/>
      <c r="C28" s="102">
        <v>215100.62</v>
      </c>
      <c r="D28" s="103" t="s">
        <v>632</v>
      </c>
      <c r="E28" s="104"/>
      <c r="F28" s="105"/>
      <c r="G28" s="126"/>
      <c r="H28" s="104"/>
      <c r="I28" s="104"/>
      <c r="J28" s="116"/>
      <c r="K28" s="107"/>
      <c r="L28" s="107"/>
      <c r="M28" s="107"/>
      <c r="N28" s="108"/>
      <c r="O28" s="109"/>
      <c r="P28" s="109"/>
      <c r="Q28" s="109"/>
      <c r="R28" s="107"/>
      <c r="S28" s="107"/>
      <c r="T28" s="107"/>
      <c r="U28" s="107"/>
      <c r="V28" s="107"/>
      <c r="W28" s="107"/>
      <c r="X28" s="110"/>
      <c r="Y28" s="107"/>
      <c r="Z28" s="107"/>
      <c r="AA28" s="110"/>
      <c r="AB28" s="110">
        <v>28400</v>
      </c>
      <c r="AC28" s="110">
        <v>40000</v>
      </c>
      <c r="AD28" s="108">
        <f>AC28</f>
        <v>40000</v>
      </c>
      <c r="AE28" s="111">
        <v>23000</v>
      </c>
      <c r="AF28" s="111">
        <v>23000</v>
      </c>
      <c r="AG28" s="24"/>
      <c r="AH28" s="24"/>
      <c r="AI28" s="24"/>
      <c r="AJ28" s="22"/>
      <c r="AK28" s="25"/>
      <c r="AL28" s="26"/>
      <c r="AM28" s="26"/>
      <c r="AN28" s="24"/>
      <c r="AO28" s="24"/>
      <c r="AP28" s="16"/>
      <c r="AQ28" s="24"/>
      <c r="AR28" s="24"/>
      <c r="AS28" s="24"/>
      <c r="AT28" s="24"/>
      <c r="AU28" s="16"/>
      <c r="AV28" s="29"/>
      <c r="AW28" s="29"/>
      <c r="AX28" s="16"/>
      <c r="AY28" s="16"/>
      <c r="AZ28" s="16"/>
      <c r="BA28" s="24"/>
      <c r="BB28" s="22"/>
      <c r="BC28" s="23"/>
      <c r="BD28" s="24"/>
      <c r="BE28" s="24"/>
      <c r="BF28" s="24"/>
      <c r="BG28" s="22"/>
      <c r="BH28" s="23"/>
      <c r="BI28" s="24"/>
      <c r="BJ28" s="24"/>
      <c r="BK28" s="24"/>
      <c r="BL28" s="16"/>
      <c r="BM28" s="16"/>
      <c r="BN28" s="16"/>
      <c r="BO28" s="16"/>
      <c r="BP28" s="16"/>
      <c r="BQ28" s="22"/>
      <c r="BR28" s="23"/>
      <c r="BS28" s="24"/>
      <c r="BT28" s="24"/>
      <c r="BU28" s="24"/>
      <c r="BV28" s="22"/>
      <c r="BW28" s="23"/>
      <c r="BX28" s="24"/>
      <c r="BY28" s="24"/>
      <c r="BZ28" s="24"/>
      <c r="CA28" s="22"/>
      <c r="CB28" s="23"/>
      <c r="CC28" s="24"/>
      <c r="CD28" s="24"/>
      <c r="CE28" s="24"/>
      <c r="CF28" s="27"/>
      <c r="CG28" s="23"/>
      <c r="CH28" s="24"/>
      <c r="CI28" s="24"/>
      <c r="CJ28" s="24"/>
      <c r="CK28" s="29"/>
      <c r="CL28" s="16"/>
      <c r="CM28" s="31"/>
      <c r="CN28" s="31"/>
      <c r="CO28" s="31"/>
      <c r="CP28" s="29"/>
      <c r="CQ28" s="16"/>
      <c r="CR28" s="31"/>
      <c r="CS28" s="31"/>
      <c r="CT28" s="32"/>
      <c r="CU28" s="33"/>
      <c r="CV28" s="16"/>
      <c r="CW28" s="31"/>
      <c r="CX28" s="31"/>
      <c r="CY28" s="31"/>
      <c r="CZ28" s="16"/>
      <c r="DA28" s="29"/>
      <c r="DB28" s="16"/>
      <c r="DC28" s="31"/>
      <c r="DD28" s="31"/>
      <c r="DE28" s="31"/>
      <c r="DF28" s="29"/>
      <c r="DG28" s="16"/>
      <c r="DH28" s="31"/>
      <c r="DI28" s="31"/>
      <c r="DJ28" s="31"/>
      <c r="DK28" s="29"/>
      <c r="DL28" s="16"/>
      <c r="DM28" s="31"/>
      <c r="DN28" s="31"/>
      <c r="DO28" s="31"/>
      <c r="DP28" s="33"/>
      <c r="DQ28" s="16"/>
      <c r="DR28" s="31"/>
      <c r="DS28" s="31"/>
      <c r="DT28" s="31"/>
      <c r="DU28" s="33"/>
      <c r="DV28" s="16"/>
      <c r="DW28" s="31"/>
      <c r="DX28" s="31"/>
      <c r="DY28" s="31"/>
      <c r="DZ28" s="33"/>
      <c r="EA28" s="16"/>
      <c r="EB28" s="31"/>
      <c r="EC28" s="31"/>
      <c r="ED28" s="31"/>
      <c r="EE28" s="29"/>
      <c r="EF28" s="16"/>
      <c r="EG28" s="31"/>
      <c r="EH28" s="31"/>
      <c r="EI28" s="31"/>
      <c r="EJ28" s="29"/>
      <c r="EK28" s="16"/>
      <c r="EL28" s="31"/>
      <c r="EM28" s="31"/>
      <c r="EN28" s="31"/>
      <c r="EO28" s="29"/>
      <c r="EP28" s="16"/>
      <c r="EQ28" s="31"/>
      <c r="ER28" s="31"/>
      <c r="ES28" s="31"/>
      <c r="ET28" s="29"/>
      <c r="EU28" s="16"/>
      <c r="EV28" s="31"/>
      <c r="EW28" s="31"/>
      <c r="EX28" s="31"/>
      <c r="EY28" s="29"/>
      <c r="EZ28" s="16"/>
      <c r="FA28" s="31"/>
      <c r="FB28" s="31"/>
      <c r="FC28" s="31"/>
      <c r="FD28" s="29"/>
      <c r="FE28" s="16"/>
      <c r="FF28" s="31"/>
      <c r="FG28" s="31"/>
      <c r="FH28" s="31"/>
      <c r="FI28" s="29"/>
      <c r="FJ28" s="16"/>
      <c r="FK28" s="31"/>
      <c r="FL28" s="31"/>
      <c r="FM28" s="31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</row>
    <row r="29" spans="2:256" ht="30" customHeight="1" x14ac:dyDescent="0.25">
      <c r="B29" s="14"/>
      <c r="C29" s="102"/>
      <c r="D29" s="103"/>
      <c r="E29" s="104">
        <v>10000</v>
      </c>
      <c r="F29" s="105"/>
      <c r="G29" s="126">
        <v>0</v>
      </c>
      <c r="H29" s="104">
        <v>10000</v>
      </c>
      <c r="I29" s="104">
        <f t="shared" si="0"/>
        <v>1.3333333333333333</v>
      </c>
      <c r="J29" s="116"/>
      <c r="K29" s="107">
        <v>0</v>
      </c>
      <c r="L29" s="107">
        <v>0</v>
      </c>
      <c r="M29" s="107">
        <f>L29*4/3</f>
        <v>0</v>
      </c>
      <c r="N29" s="108">
        <f>K29</f>
        <v>0</v>
      </c>
      <c r="O29" s="109">
        <f>M29*4/3</f>
        <v>0</v>
      </c>
      <c r="P29" s="109"/>
      <c r="Q29" s="109"/>
      <c r="R29" s="107">
        <v>0</v>
      </c>
      <c r="S29" s="107">
        <v>0</v>
      </c>
      <c r="T29" s="107">
        <v>0</v>
      </c>
      <c r="U29" s="107">
        <f>S29</f>
        <v>0</v>
      </c>
      <c r="V29" s="107"/>
      <c r="W29" s="107">
        <f>V29*2</f>
        <v>0</v>
      </c>
      <c r="X29" s="110">
        <f>U29</f>
        <v>0</v>
      </c>
      <c r="Y29" s="107"/>
      <c r="Z29" s="107">
        <f t="shared" si="1"/>
        <v>0</v>
      </c>
      <c r="AA29" s="110">
        <f>X29</f>
        <v>0</v>
      </c>
      <c r="AB29" s="110"/>
      <c r="AC29" s="110"/>
      <c r="AD29" s="110"/>
      <c r="AE29" s="138"/>
      <c r="AF29" s="138"/>
      <c r="AG29" s="24"/>
      <c r="AH29" s="24"/>
      <c r="AI29" s="24"/>
      <c r="AJ29" s="22"/>
      <c r="AK29" s="25"/>
      <c r="AL29" s="26"/>
      <c r="AM29" s="26"/>
      <c r="AN29" s="24"/>
      <c r="AO29" s="24"/>
      <c r="AP29" s="16"/>
      <c r="AQ29" s="24"/>
      <c r="AR29" s="24"/>
      <c r="AS29" s="24"/>
      <c r="AT29" s="24"/>
      <c r="AU29" s="16"/>
      <c r="AV29" s="29"/>
      <c r="AW29" s="29"/>
      <c r="AX29" s="16"/>
      <c r="AY29" s="16"/>
      <c r="AZ29" s="16"/>
      <c r="BA29" s="24"/>
      <c r="BB29" s="22"/>
      <c r="BC29" s="23"/>
      <c r="BD29" s="24"/>
      <c r="BE29" s="24"/>
      <c r="BF29" s="24"/>
      <c r="BG29" s="22"/>
      <c r="BH29" s="23"/>
      <c r="BI29" s="24"/>
      <c r="BJ29" s="24"/>
      <c r="BK29" s="24"/>
      <c r="BL29" s="16"/>
      <c r="BM29" s="16"/>
      <c r="BN29" s="16"/>
      <c r="BO29" s="16"/>
      <c r="BP29" s="16"/>
      <c r="BQ29" s="22"/>
      <c r="BR29" s="23"/>
      <c r="BS29" s="24"/>
      <c r="BT29" s="24"/>
      <c r="BU29" s="24"/>
      <c r="BV29" s="22"/>
      <c r="BW29" s="23"/>
      <c r="BX29" s="24"/>
      <c r="BY29" s="24"/>
      <c r="BZ29" s="24"/>
      <c r="CA29" s="22"/>
      <c r="CB29" s="23"/>
      <c r="CC29" s="24"/>
      <c r="CD29" s="24"/>
      <c r="CE29" s="24"/>
      <c r="CF29" s="27"/>
      <c r="CG29" s="23"/>
      <c r="CH29" s="24"/>
      <c r="CI29" s="24"/>
      <c r="CJ29" s="24"/>
      <c r="CK29" s="29"/>
      <c r="CL29" s="16"/>
      <c r="CM29" s="31"/>
      <c r="CN29" s="31"/>
      <c r="CO29" s="31"/>
      <c r="CP29" s="29"/>
      <c r="CQ29" s="16"/>
      <c r="CR29" s="31"/>
      <c r="CS29" s="31"/>
      <c r="CT29" s="32"/>
      <c r="CU29" s="33"/>
      <c r="CV29" s="16"/>
      <c r="CW29" s="31"/>
      <c r="CX29" s="31"/>
      <c r="CY29" s="31"/>
      <c r="CZ29" s="16"/>
      <c r="DA29" s="29"/>
      <c r="DB29" s="16"/>
      <c r="DC29" s="31"/>
      <c r="DD29" s="31"/>
      <c r="DE29" s="31"/>
      <c r="DF29" s="29"/>
      <c r="DG29" s="16"/>
      <c r="DH29" s="31"/>
      <c r="DI29" s="31"/>
      <c r="DJ29" s="31"/>
      <c r="DK29" s="29"/>
      <c r="DL29" s="16"/>
      <c r="DM29" s="31"/>
      <c r="DN29" s="31"/>
      <c r="DO29" s="31"/>
      <c r="DP29" s="33"/>
      <c r="DQ29" s="16"/>
      <c r="DR29" s="31"/>
      <c r="DS29" s="31"/>
      <c r="DT29" s="31"/>
      <c r="DU29" s="33"/>
      <c r="DV29" s="16"/>
      <c r="DW29" s="31"/>
      <c r="DX29" s="31"/>
      <c r="DY29" s="31"/>
      <c r="DZ29" s="33"/>
      <c r="EA29" s="16"/>
      <c r="EB29" s="31"/>
      <c r="EC29" s="31"/>
      <c r="ED29" s="31"/>
      <c r="EE29" s="29"/>
      <c r="EF29" s="16"/>
      <c r="EG29" s="31"/>
      <c r="EH29" s="31"/>
      <c r="EI29" s="31"/>
      <c r="EJ29" s="29"/>
      <c r="EK29" s="16"/>
      <c r="EL29" s="31"/>
      <c r="EM29" s="31"/>
      <c r="EN29" s="31"/>
      <c r="EO29" s="29"/>
      <c r="EP29" s="16"/>
      <c r="EQ29" s="31"/>
      <c r="ER29" s="31"/>
      <c r="ES29" s="31"/>
      <c r="ET29" s="29"/>
      <c r="EU29" s="16"/>
      <c r="EV29" s="31"/>
      <c r="EW29" s="31"/>
      <c r="EX29" s="31"/>
      <c r="EY29" s="29"/>
      <c r="EZ29" s="16"/>
      <c r="FA29" s="31"/>
      <c r="FB29" s="31"/>
      <c r="FC29" s="31"/>
      <c r="FD29" s="29"/>
      <c r="FE29" s="16"/>
      <c r="FF29" s="31"/>
      <c r="FG29" s="31"/>
      <c r="FH29" s="31"/>
      <c r="FI29" s="29"/>
      <c r="FJ29" s="16"/>
      <c r="FK29" s="31"/>
      <c r="FL29" s="31"/>
      <c r="FM29" s="31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</row>
    <row r="30" spans="2:256" ht="30" customHeight="1" x14ac:dyDescent="0.25">
      <c r="B30" s="14"/>
      <c r="C30" s="113" t="s">
        <v>291</v>
      </c>
      <c r="D30" s="139" t="s">
        <v>292</v>
      </c>
      <c r="E30" s="115">
        <f>SUM(E25:E29)</f>
        <v>23000</v>
      </c>
      <c r="F30" s="115">
        <f>SUM(F25:F29)</f>
        <v>0</v>
      </c>
      <c r="G30" s="115">
        <f>SUM(G25:G29)</f>
        <v>7200</v>
      </c>
      <c r="H30" s="115">
        <f>SUM(H25:H29)</f>
        <v>25000</v>
      </c>
      <c r="I30" s="104">
        <f t="shared" si="0"/>
        <v>1.3333333333333333</v>
      </c>
      <c r="J30" s="116"/>
      <c r="K30" s="117">
        <f t="shared" ref="K30:X30" si="9">SUM(K25:K29)</f>
        <v>10000</v>
      </c>
      <c r="L30" s="117">
        <f t="shared" si="9"/>
        <v>10315</v>
      </c>
      <c r="M30" s="117">
        <f t="shared" si="9"/>
        <v>12233</v>
      </c>
      <c r="N30" s="117">
        <f t="shared" si="9"/>
        <v>0</v>
      </c>
      <c r="O30" s="118">
        <f t="shared" si="9"/>
        <v>16310.666666666666</v>
      </c>
      <c r="P30" s="118"/>
      <c r="Q30" s="118"/>
      <c r="R30" s="117">
        <f>SUM(R25:R29)</f>
        <v>20000</v>
      </c>
      <c r="S30" s="117">
        <f t="shared" si="9"/>
        <v>20000</v>
      </c>
      <c r="T30" s="117">
        <f t="shared" si="9"/>
        <v>20000</v>
      </c>
      <c r="U30" s="117">
        <f t="shared" si="9"/>
        <v>20000</v>
      </c>
      <c r="V30" s="117">
        <f t="shared" si="9"/>
        <v>14604</v>
      </c>
      <c r="W30" s="117">
        <f t="shared" si="9"/>
        <v>29208</v>
      </c>
      <c r="X30" s="117">
        <f t="shared" si="9"/>
        <v>20000</v>
      </c>
      <c r="Y30" s="117">
        <f t="shared" ref="Y30:AF30" si="10">SUM(Y25:Y29)</f>
        <v>17351</v>
      </c>
      <c r="Z30" s="117">
        <f t="shared" si="10"/>
        <v>20821.2</v>
      </c>
      <c r="AA30" s="117">
        <f t="shared" si="10"/>
        <v>20000</v>
      </c>
      <c r="AB30" s="117">
        <f t="shared" si="10"/>
        <v>271617</v>
      </c>
      <c r="AC30" s="117">
        <f t="shared" si="10"/>
        <v>344000</v>
      </c>
      <c r="AD30" s="117">
        <f t="shared" si="10"/>
        <v>344000</v>
      </c>
      <c r="AE30" s="117">
        <f t="shared" si="10"/>
        <v>568000</v>
      </c>
      <c r="AF30" s="117">
        <f t="shared" si="10"/>
        <v>678700</v>
      </c>
      <c r="AG30" s="24"/>
      <c r="AH30" s="24"/>
      <c r="AI30" s="24"/>
      <c r="AJ30" s="22"/>
      <c r="AK30" s="23"/>
      <c r="AL30" s="24"/>
      <c r="AM30" s="24"/>
      <c r="AN30" s="24"/>
      <c r="AO30" s="24"/>
      <c r="AP30" s="25"/>
      <c r="AQ30" s="26"/>
      <c r="AR30" s="26"/>
      <c r="AS30" s="24"/>
      <c r="AT30" s="24"/>
      <c r="AU30" s="16"/>
      <c r="AV30" s="35"/>
      <c r="AW30" s="35"/>
      <c r="AX30" s="25"/>
      <c r="AY30" s="25"/>
      <c r="AZ30" s="25"/>
      <c r="BA30" s="24"/>
      <c r="BB30" s="16"/>
      <c r="BC30" s="16"/>
      <c r="BD30" s="16"/>
      <c r="BE30" s="16"/>
      <c r="BF30" s="24"/>
      <c r="BG30" s="22"/>
      <c r="BH30" s="23"/>
      <c r="BI30" s="24"/>
      <c r="BJ30" s="24"/>
      <c r="BK30" s="24"/>
      <c r="BL30" s="16"/>
      <c r="BM30" s="16"/>
      <c r="BN30" s="16"/>
      <c r="BO30" s="16"/>
      <c r="BP30" s="16"/>
      <c r="BQ30" s="22"/>
      <c r="BR30" s="23"/>
      <c r="BS30" s="24"/>
      <c r="BT30" s="24"/>
      <c r="BU30" s="24"/>
      <c r="BV30" s="22"/>
      <c r="BW30" s="23"/>
      <c r="BX30" s="24"/>
      <c r="BY30" s="24"/>
      <c r="BZ30" s="24"/>
      <c r="CA30" s="22"/>
      <c r="CB30" s="23"/>
      <c r="CC30" s="24"/>
      <c r="CD30" s="24"/>
      <c r="CE30" s="24"/>
      <c r="CF30" s="27"/>
      <c r="CG30" s="23"/>
      <c r="CH30" s="24"/>
      <c r="CI30" s="24"/>
      <c r="CJ30" s="24"/>
      <c r="CK30" s="29"/>
      <c r="CL30" s="16"/>
      <c r="CM30" s="31"/>
      <c r="CN30" s="31"/>
      <c r="CO30" s="31"/>
      <c r="CP30" s="29"/>
      <c r="CQ30" s="16"/>
      <c r="CR30" s="31"/>
      <c r="CS30" s="31"/>
      <c r="CT30" s="32"/>
      <c r="CU30" s="33"/>
      <c r="CV30" s="16"/>
      <c r="CW30" s="31"/>
      <c r="CX30" s="31"/>
      <c r="CY30" s="31"/>
      <c r="CZ30" s="16"/>
      <c r="DA30" s="29"/>
      <c r="DB30" s="16"/>
      <c r="DC30" s="31"/>
      <c r="DD30" s="31"/>
      <c r="DE30" s="31"/>
      <c r="DF30" s="29"/>
      <c r="DG30" s="16"/>
      <c r="DH30" s="31"/>
      <c r="DI30" s="31"/>
      <c r="DJ30" s="31"/>
      <c r="DK30" s="29"/>
      <c r="DL30" s="16"/>
      <c r="DM30" s="31"/>
      <c r="DN30" s="31"/>
      <c r="DO30" s="31"/>
      <c r="DP30" s="33"/>
      <c r="DQ30" s="16"/>
      <c r="DR30" s="31"/>
      <c r="DS30" s="31"/>
      <c r="DT30" s="31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31"/>
      <c r="EH30" s="31"/>
      <c r="EI30" s="31"/>
      <c r="EJ30" s="29"/>
      <c r="EK30" s="16"/>
      <c r="EL30" s="31"/>
      <c r="EM30" s="31"/>
      <c r="EN30" s="31"/>
      <c r="EO30" s="29"/>
      <c r="EP30" s="16"/>
      <c r="EQ30" s="31"/>
      <c r="ER30" s="31"/>
      <c r="ES30" s="31"/>
      <c r="ET30" s="29"/>
      <c r="EU30" s="16"/>
      <c r="EV30" s="31"/>
      <c r="EW30" s="31"/>
      <c r="EX30" s="31"/>
      <c r="EY30" s="29"/>
      <c r="EZ30" s="16"/>
      <c r="FA30" s="31"/>
      <c r="FB30" s="31"/>
      <c r="FC30" s="31"/>
      <c r="FD30" s="29"/>
      <c r="FE30" s="16"/>
      <c r="FF30" s="31"/>
      <c r="FG30" s="31"/>
      <c r="FH30" s="31"/>
      <c r="FI30" s="29"/>
      <c r="FJ30" s="16"/>
      <c r="FK30" s="31"/>
      <c r="FL30" s="31"/>
      <c r="FM30" s="31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</row>
    <row r="31" spans="2:256" ht="30" customHeight="1" x14ac:dyDescent="0.25">
      <c r="B31" s="14"/>
      <c r="C31" s="140"/>
      <c r="D31" s="141"/>
      <c r="E31" s="142"/>
      <c r="F31" s="142"/>
      <c r="G31" s="142"/>
      <c r="H31" s="142"/>
      <c r="I31" s="104"/>
      <c r="J31" s="116"/>
      <c r="K31" s="107"/>
      <c r="L31" s="107"/>
      <c r="M31" s="107"/>
      <c r="N31" s="108"/>
      <c r="O31" s="109"/>
      <c r="P31" s="109"/>
      <c r="Q31" s="109"/>
      <c r="R31" s="107"/>
      <c r="S31" s="107"/>
      <c r="T31" s="107"/>
      <c r="U31" s="107"/>
      <c r="V31" s="107"/>
      <c r="W31" s="107"/>
      <c r="X31" s="110"/>
      <c r="Y31" s="107"/>
      <c r="Z31" s="107">
        <f t="shared" si="1"/>
        <v>0</v>
      </c>
      <c r="AA31" s="110"/>
      <c r="AB31" s="110"/>
      <c r="AC31" s="110"/>
      <c r="AD31" s="110"/>
      <c r="AE31" s="138"/>
      <c r="AF31" s="138"/>
      <c r="AG31" s="24"/>
      <c r="AH31" s="24"/>
      <c r="AI31" s="24"/>
      <c r="AJ31" s="22"/>
      <c r="AK31" s="23"/>
      <c r="AL31" s="24"/>
      <c r="AM31" s="24"/>
      <c r="AN31" s="24"/>
      <c r="AO31" s="24"/>
      <c r="AP31" s="25"/>
      <c r="AQ31" s="26"/>
      <c r="AR31" s="26"/>
      <c r="AS31" s="24"/>
      <c r="AT31" s="24"/>
      <c r="AU31" s="16"/>
      <c r="AV31" s="35"/>
      <c r="AW31" s="35"/>
      <c r="AX31" s="25"/>
      <c r="AY31" s="25"/>
      <c r="AZ31" s="25"/>
      <c r="BA31" s="24"/>
      <c r="BB31" s="16"/>
      <c r="BC31" s="16"/>
      <c r="BD31" s="16"/>
      <c r="BE31" s="16"/>
      <c r="BF31" s="24"/>
      <c r="BG31" s="22"/>
      <c r="BH31" s="23"/>
      <c r="BI31" s="24"/>
      <c r="BJ31" s="24"/>
      <c r="BK31" s="24"/>
      <c r="BL31" s="16"/>
      <c r="BM31" s="16"/>
      <c r="BN31" s="16"/>
      <c r="BO31" s="16"/>
      <c r="BP31" s="16"/>
      <c r="BQ31" s="22"/>
      <c r="BR31" s="23"/>
      <c r="BS31" s="24"/>
      <c r="BT31" s="24"/>
      <c r="BU31" s="24"/>
      <c r="BV31" s="22"/>
      <c r="BW31" s="23"/>
      <c r="BX31" s="24"/>
      <c r="BY31" s="24"/>
      <c r="BZ31" s="24"/>
      <c r="CA31" s="22"/>
      <c r="CB31" s="23"/>
      <c r="CC31" s="24"/>
      <c r="CD31" s="24"/>
      <c r="CE31" s="24"/>
      <c r="CF31" s="27"/>
      <c r="CG31" s="23"/>
      <c r="CH31" s="24"/>
      <c r="CI31" s="24"/>
      <c r="CJ31" s="24"/>
      <c r="CK31" s="29"/>
      <c r="CL31" s="16"/>
      <c r="CM31" s="31"/>
      <c r="CN31" s="31"/>
      <c r="CO31" s="31"/>
      <c r="CP31" s="29"/>
      <c r="CQ31" s="16"/>
      <c r="CR31" s="31"/>
      <c r="CS31" s="31"/>
      <c r="CT31" s="32"/>
      <c r="CU31" s="33"/>
      <c r="CV31" s="16"/>
      <c r="CW31" s="31"/>
      <c r="CX31" s="31"/>
      <c r="CY31" s="31"/>
      <c r="CZ31" s="16"/>
      <c r="DA31" s="29"/>
      <c r="DB31" s="16"/>
      <c r="DC31" s="31"/>
      <c r="DD31" s="31"/>
      <c r="DE31" s="31"/>
      <c r="DF31" s="29"/>
      <c r="DG31" s="16"/>
      <c r="DH31" s="31"/>
      <c r="DI31" s="31"/>
      <c r="DJ31" s="31"/>
      <c r="DK31" s="29"/>
      <c r="DL31" s="16"/>
      <c r="DM31" s="31"/>
      <c r="DN31" s="31"/>
      <c r="DO31" s="31"/>
      <c r="DP31" s="33"/>
      <c r="DQ31" s="16"/>
      <c r="DR31" s="31"/>
      <c r="DS31" s="31"/>
      <c r="DT31" s="31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31"/>
      <c r="EH31" s="31"/>
      <c r="EI31" s="31"/>
      <c r="EJ31" s="29"/>
      <c r="EK31" s="16"/>
      <c r="EL31" s="31"/>
      <c r="EM31" s="31"/>
      <c r="EN31" s="31"/>
      <c r="EO31" s="29"/>
      <c r="EP31" s="16"/>
      <c r="EQ31" s="31"/>
      <c r="ER31" s="31"/>
      <c r="ES31" s="31"/>
      <c r="ET31" s="29"/>
      <c r="EU31" s="16"/>
      <c r="EV31" s="31"/>
      <c r="EW31" s="31"/>
      <c r="EX31" s="31"/>
      <c r="EY31" s="29"/>
      <c r="EZ31" s="16"/>
      <c r="FA31" s="31"/>
      <c r="FB31" s="31"/>
      <c r="FC31" s="31"/>
      <c r="FD31" s="29"/>
      <c r="FE31" s="16"/>
      <c r="FF31" s="31"/>
      <c r="FG31" s="31"/>
      <c r="FH31" s="31"/>
      <c r="FI31" s="29"/>
      <c r="FJ31" s="16"/>
      <c r="FK31" s="31"/>
      <c r="FL31" s="31"/>
      <c r="FM31" s="31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</row>
    <row r="32" spans="2:256" ht="30" customHeight="1" x14ac:dyDescent="0.25">
      <c r="B32" s="14"/>
      <c r="C32" s="143">
        <v>221000.97</v>
      </c>
      <c r="D32" s="144" t="s">
        <v>610</v>
      </c>
      <c r="E32" s="105">
        <v>0</v>
      </c>
      <c r="F32" s="105"/>
      <c r="G32" s="105">
        <v>0</v>
      </c>
      <c r="H32" s="105">
        <v>457500</v>
      </c>
      <c r="I32" s="104"/>
      <c r="J32" s="116"/>
      <c r="K32" s="107">
        <v>750000</v>
      </c>
      <c r="L32" s="107">
        <v>80000</v>
      </c>
      <c r="M32" s="107">
        <v>177129</v>
      </c>
      <c r="N32" s="108"/>
      <c r="O32" s="109">
        <v>450000</v>
      </c>
      <c r="P32" s="109">
        <v>352181</v>
      </c>
      <c r="Q32" s="109">
        <v>397819</v>
      </c>
      <c r="R32" s="107">
        <f>750000</f>
        <v>750000</v>
      </c>
      <c r="S32" s="107">
        <f>Q32+P32</f>
        <v>750000</v>
      </c>
      <c r="T32" s="107">
        <f>Q32+P32</f>
        <v>750000</v>
      </c>
      <c r="U32" s="145">
        <f>383400+50000</f>
        <v>433400</v>
      </c>
      <c r="V32" s="107">
        <f>54665.28+90360</f>
        <v>145025.28</v>
      </c>
      <c r="W32" s="107">
        <f>V32*2+100000</f>
        <v>390050.56</v>
      </c>
      <c r="X32" s="110">
        <f>U32</f>
        <v>433400</v>
      </c>
      <c r="Y32" s="107">
        <v>292059</v>
      </c>
      <c r="Z32" s="107">
        <f t="shared" si="1"/>
        <v>350470.8</v>
      </c>
      <c r="AA32" s="110">
        <v>469800</v>
      </c>
      <c r="AB32" s="110">
        <v>360591</v>
      </c>
      <c r="AC32" s="110">
        <v>469800</v>
      </c>
      <c r="AD32" s="108">
        <f>AC32</f>
        <v>469800</v>
      </c>
      <c r="AE32" s="111">
        <v>469800</v>
      </c>
      <c r="AF32" s="127">
        <v>469800</v>
      </c>
      <c r="AG32" s="26" t="s">
        <v>699</v>
      </c>
      <c r="AH32" s="24"/>
      <c r="AI32" s="24">
        <v>5</v>
      </c>
      <c r="AJ32" s="22"/>
      <c r="AK32" s="23"/>
      <c r="AL32" s="24"/>
      <c r="AM32" s="24"/>
      <c r="AN32" s="24"/>
      <c r="AO32" s="24"/>
      <c r="AP32" s="25"/>
      <c r="AQ32" s="26"/>
      <c r="AR32" s="26"/>
      <c r="AS32" s="24"/>
      <c r="AT32" s="24"/>
      <c r="AU32" s="16"/>
      <c r="AV32" s="35"/>
      <c r="AW32" s="35"/>
      <c r="AX32" s="25"/>
      <c r="AY32" s="25"/>
      <c r="AZ32" s="25"/>
      <c r="BA32" s="24"/>
      <c r="BB32" s="16"/>
      <c r="BC32" s="16"/>
      <c r="BD32" s="16"/>
      <c r="BE32" s="16"/>
      <c r="BF32" s="24"/>
      <c r="BG32" s="22"/>
      <c r="BH32" s="23"/>
      <c r="BI32" s="24"/>
      <c r="BJ32" s="24"/>
      <c r="BK32" s="24"/>
      <c r="BL32" s="16"/>
      <c r="BM32" s="16"/>
      <c r="BN32" s="16"/>
      <c r="BO32" s="16"/>
      <c r="BP32" s="16"/>
      <c r="BQ32" s="22"/>
      <c r="BR32" s="23"/>
      <c r="BS32" s="24"/>
      <c r="BT32" s="24"/>
      <c r="BU32" s="24"/>
      <c r="BV32" s="22"/>
      <c r="BW32" s="23"/>
      <c r="BX32" s="24"/>
      <c r="BY32" s="24"/>
      <c r="BZ32" s="24"/>
      <c r="CA32" s="22"/>
      <c r="CB32" s="23"/>
      <c r="CC32" s="24"/>
      <c r="CD32" s="24"/>
      <c r="CE32" s="24"/>
      <c r="CF32" s="27"/>
      <c r="CG32" s="23"/>
      <c r="CH32" s="24"/>
      <c r="CI32" s="24"/>
      <c r="CJ32" s="24"/>
      <c r="CK32" s="29"/>
      <c r="CL32" s="16"/>
      <c r="CM32" s="31"/>
      <c r="CN32" s="31"/>
      <c r="CO32" s="31"/>
      <c r="CP32" s="29"/>
      <c r="CQ32" s="16"/>
      <c r="CR32" s="31"/>
      <c r="CS32" s="31"/>
      <c r="CT32" s="32"/>
      <c r="CU32" s="33"/>
      <c r="CV32" s="16"/>
      <c r="CW32" s="31"/>
      <c r="CX32" s="31"/>
      <c r="CY32" s="31"/>
      <c r="CZ32" s="16"/>
      <c r="DA32" s="29"/>
      <c r="DB32" s="16"/>
      <c r="DC32" s="31"/>
      <c r="DD32" s="31"/>
      <c r="DE32" s="31"/>
      <c r="DF32" s="29"/>
      <c r="DG32" s="16"/>
      <c r="DH32" s="31"/>
      <c r="DI32" s="31"/>
      <c r="DJ32" s="31"/>
      <c r="DK32" s="29"/>
      <c r="DL32" s="16"/>
      <c r="DM32" s="31"/>
      <c r="DN32" s="31"/>
      <c r="DO32" s="31"/>
      <c r="DP32" s="33"/>
      <c r="DQ32" s="16"/>
      <c r="DR32" s="31"/>
      <c r="DS32" s="31"/>
      <c r="DT32" s="31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31"/>
      <c r="EH32" s="31"/>
      <c r="EI32" s="31"/>
      <c r="EJ32" s="29"/>
      <c r="EK32" s="16"/>
      <c r="EL32" s="31"/>
      <c r="EM32" s="31"/>
      <c r="EN32" s="31"/>
      <c r="EO32" s="29"/>
      <c r="EP32" s="16"/>
      <c r="EQ32" s="31"/>
      <c r="ER32" s="31"/>
      <c r="ES32" s="31"/>
      <c r="ET32" s="29"/>
      <c r="EU32" s="16"/>
      <c r="EV32" s="31"/>
      <c r="EW32" s="31"/>
      <c r="EX32" s="31"/>
      <c r="EY32" s="29"/>
      <c r="EZ32" s="16"/>
      <c r="FA32" s="31"/>
      <c r="FB32" s="31"/>
      <c r="FC32" s="31"/>
      <c r="FD32" s="29"/>
      <c r="FE32" s="16"/>
      <c r="FF32" s="31"/>
      <c r="FG32" s="31"/>
      <c r="FH32" s="31"/>
      <c r="FI32" s="29"/>
      <c r="FJ32" s="16"/>
      <c r="FK32" s="31"/>
      <c r="FL32" s="31"/>
      <c r="FM32" s="31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</row>
    <row r="33" spans="2:256" ht="30" customHeight="1" x14ac:dyDescent="0.25">
      <c r="B33" s="14"/>
      <c r="C33" s="143">
        <v>221001.97</v>
      </c>
      <c r="D33" s="144" t="s">
        <v>611</v>
      </c>
      <c r="E33" s="105"/>
      <c r="F33" s="105"/>
      <c r="G33" s="105"/>
      <c r="H33" s="105"/>
      <c r="I33" s="104"/>
      <c r="J33" s="116"/>
      <c r="K33" s="107"/>
      <c r="L33" s="107"/>
      <c r="M33" s="107"/>
      <c r="N33" s="108"/>
      <c r="O33" s="109"/>
      <c r="P33" s="109">
        <v>0</v>
      </c>
      <c r="Q33" s="109">
        <v>169478</v>
      </c>
      <c r="R33" s="107">
        <v>169478</v>
      </c>
      <c r="S33" s="107">
        <v>169500</v>
      </c>
      <c r="T33" s="107">
        <f>Q33+P33</f>
        <v>169478</v>
      </c>
      <c r="U33" s="107">
        <v>0</v>
      </c>
      <c r="V33" s="107"/>
      <c r="W33" s="107">
        <f>V33*2</f>
        <v>0</v>
      </c>
      <c r="X33" s="110">
        <f>U33</f>
        <v>0</v>
      </c>
      <c r="Y33" s="107">
        <v>124303</v>
      </c>
      <c r="Z33" s="107">
        <f t="shared" si="1"/>
        <v>149163.6</v>
      </c>
      <c r="AA33" s="110">
        <v>388866</v>
      </c>
      <c r="AB33" s="110">
        <v>280503</v>
      </c>
      <c r="AC33" s="110">
        <v>410000</v>
      </c>
      <c r="AD33" s="108">
        <f>AC33</f>
        <v>410000</v>
      </c>
      <c r="AE33" s="111">
        <v>661000</v>
      </c>
      <c r="AF33" s="111">
        <v>661000</v>
      </c>
      <c r="AG33" s="24" t="s">
        <v>699</v>
      </c>
      <c r="AH33" s="24"/>
      <c r="AI33" s="24"/>
      <c r="AJ33" s="22"/>
      <c r="AK33" s="23"/>
      <c r="AL33" s="24"/>
      <c r="AM33" s="24"/>
      <c r="AN33" s="24"/>
      <c r="AO33" s="24"/>
      <c r="AP33" s="25"/>
      <c r="AQ33" s="26"/>
      <c r="AR33" s="26"/>
      <c r="AS33" s="24"/>
      <c r="AT33" s="24"/>
      <c r="AU33" s="16"/>
      <c r="AV33" s="35"/>
      <c r="AW33" s="35"/>
      <c r="AX33" s="25"/>
      <c r="AY33" s="25"/>
      <c r="AZ33" s="25"/>
      <c r="BA33" s="24"/>
      <c r="BB33" s="16"/>
      <c r="BC33" s="16"/>
      <c r="BD33" s="16"/>
      <c r="BE33" s="16"/>
      <c r="BF33" s="24"/>
      <c r="BG33" s="22"/>
      <c r="BH33" s="23"/>
      <c r="BI33" s="24"/>
      <c r="BJ33" s="24"/>
      <c r="BK33" s="24"/>
      <c r="BL33" s="16"/>
      <c r="BM33" s="16"/>
      <c r="BN33" s="16"/>
      <c r="BO33" s="16"/>
      <c r="BP33" s="16"/>
      <c r="BQ33" s="22"/>
      <c r="BR33" s="23"/>
      <c r="BS33" s="24"/>
      <c r="BT33" s="24"/>
      <c r="BU33" s="24"/>
      <c r="BV33" s="22"/>
      <c r="BW33" s="23"/>
      <c r="BX33" s="24"/>
      <c r="BY33" s="24"/>
      <c r="BZ33" s="24"/>
      <c r="CA33" s="22"/>
      <c r="CB33" s="23"/>
      <c r="CC33" s="24"/>
      <c r="CD33" s="24"/>
      <c r="CE33" s="24"/>
      <c r="CF33" s="27"/>
      <c r="CG33" s="23"/>
      <c r="CH33" s="24"/>
      <c r="CI33" s="24"/>
      <c r="CJ33" s="24"/>
      <c r="CK33" s="29"/>
      <c r="CL33" s="16"/>
      <c r="CM33" s="31"/>
      <c r="CN33" s="31"/>
      <c r="CO33" s="31"/>
      <c r="CP33" s="29"/>
      <c r="CQ33" s="16"/>
      <c r="CR33" s="31"/>
      <c r="CS33" s="31"/>
      <c r="CT33" s="32"/>
      <c r="CU33" s="33"/>
      <c r="CV33" s="16"/>
      <c r="CW33" s="31"/>
      <c r="CX33" s="31"/>
      <c r="CY33" s="31"/>
      <c r="CZ33" s="16"/>
      <c r="DA33" s="29"/>
      <c r="DB33" s="16"/>
      <c r="DC33" s="31"/>
      <c r="DD33" s="31"/>
      <c r="DE33" s="31"/>
      <c r="DF33" s="29"/>
      <c r="DG33" s="16"/>
      <c r="DH33" s="31"/>
      <c r="DI33" s="31"/>
      <c r="DJ33" s="31"/>
      <c r="DK33" s="29"/>
      <c r="DL33" s="16"/>
      <c r="DM33" s="31"/>
      <c r="DN33" s="31"/>
      <c r="DO33" s="31"/>
      <c r="DP33" s="33"/>
      <c r="DQ33" s="16"/>
      <c r="DR33" s="31"/>
      <c r="DS33" s="31"/>
      <c r="DT33" s="31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31"/>
      <c r="EH33" s="31"/>
      <c r="EI33" s="31"/>
      <c r="EJ33" s="29"/>
      <c r="EK33" s="16"/>
      <c r="EL33" s="31"/>
      <c r="EM33" s="31"/>
      <c r="EN33" s="31"/>
      <c r="EO33" s="29"/>
      <c r="EP33" s="16"/>
      <c r="EQ33" s="31"/>
      <c r="ER33" s="31"/>
      <c r="ES33" s="31"/>
      <c r="ET33" s="29"/>
      <c r="EU33" s="16"/>
      <c r="EV33" s="31"/>
      <c r="EW33" s="31"/>
      <c r="EX33" s="31"/>
      <c r="EY33" s="29"/>
      <c r="EZ33" s="16"/>
      <c r="FA33" s="31"/>
      <c r="FB33" s="31"/>
      <c r="FC33" s="31"/>
      <c r="FD33" s="29"/>
      <c r="FE33" s="16"/>
      <c r="FF33" s="31"/>
      <c r="FG33" s="31"/>
      <c r="FH33" s="31"/>
      <c r="FI33" s="29"/>
      <c r="FJ33" s="16"/>
      <c r="FK33" s="31"/>
      <c r="FL33" s="31"/>
      <c r="FM33" s="31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</row>
    <row r="34" spans="2:256" ht="30" customHeight="1" x14ac:dyDescent="0.25">
      <c r="B34" s="14"/>
      <c r="C34" s="143"/>
      <c r="D34" s="144"/>
      <c r="E34" s="105"/>
      <c r="F34" s="105"/>
      <c r="G34" s="105"/>
      <c r="H34" s="105"/>
      <c r="I34" s="146"/>
      <c r="J34" s="147"/>
      <c r="K34" s="148"/>
      <c r="L34" s="148"/>
      <c r="M34" s="148"/>
      <c r="N34" s="109"/>
      <c r="O34" s="109"/>
      <c r="P34" s="109"/>
      <c r="Q34" s="109"/>
      <c r="R34" s="148"/>
      <c r="S34" s="148"/>
      <c r="T34" s="148"/>
      <c r="U34" s="148"/>
      <c r="V34" s="148"/>
      <c r="W34" s="148"/>
      <c r="X34" s="149"/>
      <c r="Y34" s="148"/>
      <c r="Z34" s="148"/>
      <c r="AA34" s="149"/>
      <c r="AB34" s="110"/>
      <c r="AC34" s="110"/>
      <c r="AD34" s="110"/>
      <c r="AE34" s="119"/>
      <c r="AF34" s="119"/>
      <c r="AG34" s="24"/>
      <c r="AH34" s="24"/>
      <c r="AI34" s="24"/>
      <c r="AJ34" s="22"/>
      <c r="AK34" s="23"/>
      <c r="AL34" s="24"/>
      <c r="AM34" s="24"/>
      <c r="AN34" s="24"/>
      <c r="AO34" s="24"/>
      <c r="AP34" s="25"/>
      <c r="AQ34" s="26"/>
      <c r="AR34" s="26"/>
      <c r="AS34" s="24"/>
      <c r="AT34" s="24"/>
      <c r="AU34" s="16"/>
      <c r="AV34" s="35"/>
      <c r="AW34" s="35"/>
      <c r="AX34" s="25"/>
      <c r="AY34" s="25"/>
      <c r="AZ34" s="25"/>
      <c r="BA34" s="24"/>
      <c r="BB34" s="16"/>
      <c r="BC34" s="16"/>
      <c r="BD34" s="16"/>
      <c r="BE34" s="16"/>
      <c r="BF34" s="24"/>
      <c r="BG34" s="22"/>
      <c r="BH34" s="23"/>
      <c r="BI34" s="24"/>
      <c r="BJ34" s="24"/>
      <c r="BK34" s="24"/>
      <c r="BL34" s="16"/>
      <c r="BM34" s="16"/>
      <c r="BN34" s="16"/>
      <c r="BO34" s="16"/>
      <c r="BP34" s="16"/>
      <c r="BQ34" s="22"/>
      <c r="BR34" s="23"/>
      <c r="BS34" s="24"/>
      <c r="BT34" s="24"/>
      <c r="BU34" s="24"/>
      <c r="BV34" s="22"/>
      <c r="BW34" s="23"/>
      <c r="BX34" s="24"/>
      <c r="BY34" s="24"/>
      <c r="BZ34" s="24"/>
      <c r="CA34" s="22"/>
      <c r="CB34" s="23"/>
      <c r="CC34" s="24"/>
      <c r="CD34" s="24"/>
      <c r="CE34" s="24"/>
      <c r="CF34" s="27"/>
      <c r="CG34" s="23"/>
      <c r="CH34" s="24"/>
      <c r="CI34" s="24"/>
      <c r="CJ34" s="24"/>
      <c r="CK34" s="29"/>
      <c r="CL34" s="16"/>
      <c r="CM34" s="31"/>
      <c r="CN34" s="31"/>
      <c r="CO34" s="31"/>
      <c r="CP34" s="29"/>
      <c r="CQ34" s="16"/>
      <c r="CR34" s="31"/>
      <c r="CS34" s="31"/>
      <c r="CT34" s="32"/>
      <c r="CU34" s="33"/>
      <c r="CV34" s="16"/>
      <c r="CW34" s="31"/>
      <c r="CX34" s="31"/>
      <c r="CY34" s="31"/>
      <c r="CZ34" s="16"/>
      <c r="DA34" s="29"/>
      <c r="DB34" s="16"/>
      <c r="DC34" s="31"/>
      <c r="DD34" s="31"/>
      <c r="DE34" s="31"/>
      <c r="DF34" s="29"/>
      <c r="DG34" s="16"/>
      <c r="DH34" s="31"/>
      <c r="DI34" s="31"/>
      <c r="DJ34" s="31"/>
      <c r="DK34" s="29"/>
      <c r="DL34" s="16"/>
      <c r="DM34" s="31"/>
      <c r="DN34" s="31"/>
      <c r="DO34" s="31"/>
      <c r="DP34" s="33"/>
      <c r="DQ34" s="16"/>
      <c r="DR34" s="31"/>
      <c r="DS34" s="31"/>
      <c r="DT34" s="31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31"/>
      <c r="EH34" s="31"/>
      <c r="EI34" s="31"/>
      <c r="EJ34" s="29"/>
      <c r="EK34" s="16"/>
      <c r="EL34" s="31"/>
      <c r="EM34" s="31"/>
      <c r="EN34" s="31"/>
      <c r="EO34" s="29"/>
      <c r="EP34" s="16"/>
      <c r="EQ34" s="31"/>
      <c r="ER34" s="31"/>
      <c r="ES34" s="31"/>
      <c r="ET34" s="29"/>
      <c r="EU34" s="16"/>
      <c r="EV34" s="31"/>
      <c r="EW34" s="31"/>
      <c r="EX34" s="31"/>
      <c r="EY34" s="29"/>
      <c r="EZ34" s="16"/>
      <c r="FA34" s="31"/>
      <c r="FB34" s="31"/>
      <c r="FC34" s="31"/>
      <c r="FD34" s="29"/>
      <c r="FE34" s="16"/>
      <c r="FF34" s="31"/>
      <c r="FG34" s="31"/>
      <c r="FH34" s="31"/>
      <c r="FI34" s="29"/>
      <c r="FJ34" s="16"/>
      <c r="FK34" s="31"/>
      <c r="FL34" s="31"/>
      <c r="FM34" s="31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</row>
    <row r="35" spans="2:256" ht="30" customHeight="1" x14ac:dyDescent="0.25">
      <c r="B35" s="14"/>
      <c r="C35" s="113"/>
      <c r="D35" s="139" t="s">
        <v>407</v>
      </c>
      <c r="E35" s="115">
        <f>SUM(E32:E33)</f>
        <v>0</v>
      </c>
      <c r="F35" s="115">
        <f>SUM(F32:F33)</f>
        <v>0</v>
      </c>
      <c r="G35" s="115">
        <f>SUM(G32:G33)</f>
        <v>0</v>
      </c>
      <c r="H35" s="115">
        <f>SUM(H32:H33)</f>
        <v>457500</v>
      </c>
      <c r="I35" s="104"/>
      <c r="J35" s="116"/>
      <c r="K35" s="117">
        <f t="shared" ref="K35:W35" si="11">SUM(K32:K33)</f>
        <v>750000</v>
      </c>
      <c r="L35" s="117">
        <f t="shared" si="11"/>
        <v>80000</v>
      </c>
      <c r="M35" s="117">
        <f t="shared" si="11"/>
        <v>177129</v>
      </c>
      <c r="N35" s="117">
        <f t="shared" si="11"/>
        <v>0</v>
      </c>
      <c r="O35" s="118">
        <f t="shared" si="11"/>
        <v>450000</v>
      </c>
      <c r="P35" s="118">
        <f t="shared" si="11"/>
        <v>352181</v>
      </c>
      <c r="Q35" s="118">
        <f t="shared" si="11"/>
        <v>567297</v>
      </c>
      <c r="R35" s="117">
        <f t="shared" si="11"/>
        <v>919478</v>
      </c>
      <c r="S35" s="117">
        <f t="shared" si="11"/>
        <v>919500</v>
      </c>
      <c r="T35" s="117">
        <f t="shared" si="11"/>
        <v>919478</v>
      </c>
      <c r="U35" s="117">
        <f t="shared" si="11"/>
        <v>433400</v>
      </c>
      <c r="V35" s="117">
        <f t="shared" si="11"/>
        <v>145025.28</v>
      </c>
      <c r="W35" s="117">
        <f t="shared" si="11"/>
        <v>390050.56</v>
      </c>
      <c r="X35" s="117">
        <f t="shared" ref="X35:AF35" si="12">SUM(X32:X34)</f>
        <v>433400</v>
      </c>
      <c r="Y35" s="117">
        <f t="shared" si="12"/>
        <v>416362</v>
      </c>
      <c r="Z35" s="117">
        <f t="shared" si="12"/>
        <v>499634.4</v>
      </c>
      <c r="AA35" s="117">
        <f t="shared" si="12"/>
        <v>858666</v>
      </c>
      <c r="AB35" s="117">
        <f t="shared" si="12"/>
        <v>641094</v>
      </c>
      <c r="AC35" s="117">
        <f t="shared" si="12"/>
        <v>879800</v>
      </c>
      <c r="AD35" s="117">
        <f t="shared" si="12"/>
        <v>879800</v>
      </c>
      <c r="AE35" s="117">
        <f t="shared" si="12"/>
        <v>1130800</v>
      </c>
      <c r="AF35" s="117">
        <f t="shared" si="12"/>
        <v>1130800</v>
      </c>
      <c r="AG35" s="24"/>
      <c r="AH35" s="24"/>
      <c r="AI35" s="24"/>
      <c r="AJ35" s="22"/>
      <c r="AK35" s="23"/>
      <c r="AL35" s="24"/>
      <c r="AM35" s="24"/>
      <c r="AN35" s="24"/>
      <c r="AO35" s="24"/>
      <c r="AP35" s="25"/>
      <c r="AQ35" s="26"/>
      <c r="AR35" s="26"/>
      <c r="AS35" s="24"/>
      <c r="AT35" s="24"/>
      <c r="AU35" s="16"/>
      <c r="AV35" s="35"/>
      <c r="AW35" s="35"/>
      <c r="AX35" s="25"/>
      <c r="AY35" s="25"/>
      <c r="AZ35" s="25"/>
      <c r="BA35" s="24"/>
      <c r="BB35" s="16"/>
      <c r="BC35" s="16"/>
      <c r="BD35" s="16"/>
      <c r="BE35" s="16"/>
      <c r="BF35" s="24"/>
      <c r="BG35" s="22"/>
      <c r="BH35" s="23"/>
      <c r="BI35" s="24"/>
      <c r="BJ35" s="24"/>
      <c r="BK35" s="24"/>
      <c r="BL35" s="16"/>
      <c r="BM35" s="16"/>
      <c r="BN35" s="16"/>
      <c r="BO35" s="16"/>
      <c r="BP35" s="16"/>
      <c r="BQ35" s="22"/>
      <c r="BR35" s="23"/>
      <c r="BS35" s="24"/>
      <c r="BT35" s="24"/>
      <c r="BU35" s="24"/>
      <c r="BV35" s="22"/>
      <c r="BW35" s="23"/>
      <c r="BX35" s="24"/>
      <c r="BY35" s="24"/>
      <c r="BZ35" s="24"/>
      <c r="CA35" s="22"/>
      <c r="CB35" s="23"/>
      <c r="CC35" s="24"/>
      <c r="CD35" s="24"/>
      <c r="CE35" s="24"/>
      <c r="CF35" s="27"/>
      <c r="CG35" s="23"/>
      <c r="CH35" s="24"/>
      <c r="CI35" s="24"/>
      <c r="CJ35" s="24"/>
      <c r="CK35" s="29"/>
      <c r="CL35" s="16"/>
      <c r="CM35" s="31"/>
      <c r="CN35" s="31"/>
      <c r="CO35" s="31"/>
      <c r="CP35" s="29"/>
      <c r="CQ35" s="16"/>
      <c r="CR35" s="31"/>
      <c r="CS35" s="31"/>
      <c r="CT35" s="32"/>
      <c r="CU35" s="33"/>
      <c r="CV35" s="16"/>
      <c r="CW35" s="31"/>
      <c r="CX35" s="31"/>
      <c r="CY35" s="31"/>
      <c r="CZ35" s="16"/>
      <c r="DA35" s="29"/>
      <c r="DB35" s="16"/>
      <c r="DC35" s="31"/>
      <c r="DD35" s="31"/>
      <c r="DE35" s="31"/>
      <c r="DF35" s="29"/>
      <c r="DG35" s="16"/>
      <c r="DH35" s="31"/>
      <c r="DI35" s="31"/>
      <c r="DJ35" s="31"/>
      <c r="DK35" s="29"/>
      <c r="DL35" s="16"/>
      <c r="DM35" s="31"/>
      <c r="DN35" s="31"/>
      <c r="DO35" s="31"/>
      <c r="DP35" s="33"/>
      <c r="DQ35" s="16"/>
      <c r="DR35" s="31"/>
      <c r="DS35" s="31"/>
      <c r="DT35" s="31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31"/>
      <c r="EH35" s="31"/>
      <c r="EI35" s="31"/>
      <c r="EJ35" s="29"/>
      <c r="EK35" s="16"/>
      <c r="EL35" s="31"/>
      <c r="EM35" s="31"/>
      <c r="EN35" s="31"/>
      <c r="EO35" s="29"/>
      <c r="EP35" s="16"/>
      <c r="EQ35" s="31"/>
      <c r="ER35" s="31"/>
      <c r="ES35" s="31"/>
      <c r="ET35" s="29"/>
      <c r="EU35" s="16"/>
      <c r="EV35" s="31"/>
      <c r="EW35" s="31"/>
      <c r="EX35" s="31"/>
      <c r="EY35" s="29"/>
      <c r="EZ35" s="16"/>
      <c r="FA35" s="31"/>
      <c r="FB35" s="31"/>
      <c r="FC35" s="31"/>
      <c r="FD35" s="29"/>
      <c r="FE35" s="16"/>
      <c r="FF35" s="31"/>
      <c r="FG35" s="31"/>
      <c r="FH35" s="31"/>
      <c r="FI35" s="29"/>
      <c r="FJ35" s="16"/>
      <c r="FK35" s="31"/>
      <c r="FL35" s="31"/>
      <c r="FM35" s="31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</row>
    <row r="36" spans="2:256" ht="30" customHeight="1" x14ac:dyDescent="0.25">
      <c r="B36" s="14"/>
      <c r="C36" s="102"/>
      <c r="D36" s="103"/>
      <c r="E36" s="126"/>
      <c r="F36" s="105"/>
      <c r="G36" s="126"/>
      <c r="H36" s="126"/>
      <c r="I36" s="104"/>
      <c r="J36" s="116"/>
      <c r="K36" s="107"/>
      <c r="L36" s="107"/>
      <c r="M36" s="107"/>
      <c r="N36" s="108"/>
      <c r="O36" s="109"/>
      <c r="P36" s="109"/>
      <c r="Q36" s="109"/>
      <c r="R36" s="107"/>
      <c r="S36" s="107"/>
      <c r="T36" s="107"/>
      <c r="U36" s="107"/>
      <c r="V36" s="107"/>
      <c r="W36" s="107"/>
      <c r="X36" s="110"/>
      <c r="Y36" s="107"/>
      <c r="Z36" s="107">
        <f t="shared" si="1"/>
        <v>0</v>
      </c>
      <c r="AA36" s="110"/>
      <c r="AB36" s="110"/>
      <c r="AC36" s="110"/>
      <c r="AD36" s="110"/>
      <c r="AE36" s="138"/>
      <c r="AF36" s="138"/>
      <c r="AG36" s="24"/>
      <c r="AH36" s="24"/>
      <c r="AI36" s="24"/>
      <c r="AJ36" s="22"/>
      <c r="AK36" s="23"/>
      <c r="AL36" s="24"/>
      <c r="AM36" s="24"/>
      <c r="AN36" s="24"/>
      <c r="AO36" s="24"/>
      <c r="AP36" s="25"/>
      <c r="AQ36" s="26"/>
      <c r="AR36" s="26"/>
      <c r="AS36" s="24"/>
      <c r="AT36" s="24"/>
      <c r="AU36" s="16"/>
      <c r="AV36" s="35"/>
      <c r="AW36" s="35"/>
      <c r="AX36" s="25"/>
      <c r="AY36" s="25"/>
      <c r="AZ36" s="25"/>
      <c r="BA36" s="24"/>
      <c r="BB36" s="16"/>
      <c r="BC36" s="16"/>
      <c r="BD36" s="16"/>
      <c r="BE36" s="16"/>
      <c r="BF36" s="24"/>
      <c r="BG36" s="22"/>
      <c r="BH36" s="23"/>
      <c r="BI36" s="24"/>
      <c r="BJ36" s="24"/>
      <c r="BK36" s="24"/>
      <c r="BL36" s="16"/>
      <c r="BM36" s="16"/>
      <c r="BN36" s="16"/>
      <c r="BO36" s="16"/>
      <c r="BP36" s="16"/>
      <c r="BQ36" s="22"/>
      <c r="BR36" s="23"/>
      <c r="BS36" s="24"/>
      <c r="BT36" s="24"/>
      <c r="BU36" s="24"/>
      <c r="BV36" s="22"/>
      <c r="BW36" s="23"/>
      <c r="BX36" s="24"/>
      <c r="BY36" s="24"/>
      <c r="BZ36" s="24"/>
      <c r="CA36" s="22"/>
      <c r="CB36" s="23"/>
      <c r="CC36" s="24"/>
      <c r="CD36" s="24"/>
      <c r="CE36" s="24"/>
      <c r="CF36" s="27"/>
      <c r="CG36" s="23"/>
      <c r="CH36" s="24"/>
      <c r="CI36" s="24"/>
      <c r="CJ36" s="24"/>
      <c r="CK36" s="29"/>
      <c r="CL36" s="16"/>
      <c r="CM36" s="31"/>
      <c r="CN36" s="31"/>
      <c r="CO36" s="31"/>
      <c r="CP36" s="29"/>
      <c r="CQ36" s="16"/>
      <c r="CR36" s="31"/>
      <c r="CS36" s="31"/>
      <c r="CT36" s="32"/>
      <c r="CU36" s="33"/>
      <c r="CV36" s="16"/>
      <c r="CW36" s="31"/>
      <c r="CX36" s="31"/>
      <c r="CY36" s="31"/>
      <c r="CZ36" s="16"/>
      <c r="DA36" s="29"/>
      <c r="DB36" s="16"/>
      <c r="DC36" s="31"/>
      <c r="DD36" s="31"/>
      <c r="DE36" s="31"/>
      <c r="DF36" s="29"/>
      <c r="DG36" s="16"/>
      <c r="DH36" s="31"/>
      <c r="DI36" s="31"/>
      <c r="DJ36" s="31"/>
      <c r="DK36" s="29"/>
      <c r="DL36" s="16"/>
      <c r="DM36" s="31"/>
      <c r="DN36" s="31"/>
      <c r="DO36" s="31"/>
      <c r="DP36" s="33"/>
      <c r="DQ36" s="16"/>
      <c r="DR36" s="31"/>
      <c r="DS36" s="31"/>
      <c r="DT36" s="31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31"/>
      <c r="EH36" s="31"/>
      <c r="EI36" s="31"/>
      <c r="EJ36" s="29"/>
      <c r="EK36" s="16"/>
      <c r="EL36" s="31"/>
      <c r="EM36" s="31"/>
      <c r="EN36" s="31"/>
      <c r="EO36" s="29"/>
      <c r="EP36" s="16"/>
      <c r="EQ36" s="31"/>
      <c r="ER36" s="31"/>
      <c r="ES36" s="31"/>
      <c r="ET36" s="29"/>
      <c r="EU36" s="16"/>
      <c r="EV36" s="31"/>
      <c r="EW36" s="31"/>
      <c r="EX36" s="31"/>
      <c r="EY36" s="29"/>
      <c r="EZ36" s="16"/>
      <c r="FA36" s="31"/>
      <c r="FB36" s="31"/>
      <c r="FC36" s="31"/>
      <c r="FD36" s="29"/>
      <c r="FE36" s="16"/>
      <c r="FF36" s="31"/>
      <c r="FG36" s="31"/>
      <c r="FH36" s="31"/>
      <c r="FI36" s="29"/>
      <c r="FJ36" s="16"/>
      <c r="FK36" s="31"/>
      <c r="FL36" s="31"/>
      <c r="FM36" s="31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</row>
    <row r="37" spans="2:256" ht="30" customHeight="1" x14ac:dyDescent="0.25">
      <c r="B37" s="14"/>
      <c r="C37" s="102">
        <v>244000.99</v>
      </c>
      <c r="D37" s="103" t="s">
        <v>293</v>
      </c>
      <c r="E37" s="104">
        <v>220000</v>
      </c>
      <c r="F37" s="105"/>
      <c r="G37" s="126">
        <v>92000</v>
      </c>
      <c r="H37" s="146">
        <f>120000</f>
        <v>120000</v>
      </c>
      <c r="I37" s="104">
        <f>4/3</f>
        <v>1.3333333333333333</v>
      </c>
      <c r="J37" s="116"/>
      <c r="K37" s="107">
        <v>10000</v>
      </c>
      <c r="L37" s="107">
        <v>0</v>
      </c>
      <c r="M37" s="107"/>
      <c r="N37" s="108"/>
      <c r="O37" s="109">
        <f>M37*4/3</f>
        <v>0</v>
      </c>
      <c r="P37" s="109">
        <v>0</v>
      </c>
      <c r="Q37" s="109">
        <v>0</v>
      </c>
      <c r="R37" s="107">
        <v>10000</v>
      </c>
      <c r="S37" s="107">
        <v>10000</v>
      </c>
      <c r="T37" s="107">
        <f>Q37+P37</f>
        <v>0</v>
      </c>
      <c r="U37" s="107">
        <f>S37</f>
        <v>10000</v>
      </c>
      <c r="V37" s="107">
        <v>42322</v>
      </c>
      <c r="W37" s="107">
        <f>V37*2</f>
        <v>84644</v>
      </c>
      <c r="X37" s="110">
        <v>80000</v>
      </c>
      <c r="Y37" s="107">
        <v>40160</v>
      </c>
      <c r="Z37" s="107">
        <f t="shared" si="1"/>
        <v>48192</v>
      </c>
      <c r="AA37" s="110">
        <v>80000</v>
      </c>
      <c r="AB37" s="110">
        <v>29000</v>
      </c>
      <c r="AC37" s="110">
        <v>80000</v>
      </c>
      <c r="AD37" s="108">
        <f>AC37</f>
        <v>80000</v>
      </c>
      <c r="AE37" s="111">
        <v>80000</v>
      </c>
      <c r="AF37" s="111">
        <v>80000</v>
      </c>
      <c r="AG37" s="24"/>
      <c r="AH37" s="24"/>
      <c r="AI37" s="24"/>
      <c r="AJ37" s="22"/>
      <c r="AK37" s="23"/>
      <c r="AL37" s="24"/>
      <c r="AM37" s="24"/>
      <c r="AN37" s="24"/>
      <c r="AO37" s="24"/>
      <c r="AP37" s="25"/>
      <c r="AQ37" s="26"/>
      <c r="AR37" s="26"/>
      <c r="AS37" s="24"/>
      <c r="AT37" s="24"/>
      <c r="AU37" s="16"/>
      <c r="AV37" s="35"/>
      <c r="AW37" s="35"/>
      <c r="AX37" s="25"/>
      <c r="AY37" s="25"/>
      <c r="AZ37" s="25"/>
      <c r="BA37" s="24"/>
      <c r="BB37" s="16"/>
      <c r="BC37" s="16"/>
      <c r="BD37" s="16"/>
      <c r="BE37" s="16"/>
      <c r="BF37" s="24"/>
      <c r="BG37" s="22"/>
      <c r="BH37" s="23"/>
      <c r="BI37" s="24"/>
      <c r="BJ37" s="24"/>
      <c r="BK37" s="24"/>
      <c r="BL37" s="16"/>
      <c r="BM37" s="16"/>
      <c r="BN37" s="16"/>
      <c r="BO37" s="16"/>
      <c r="BP37" s="16"/>
      <c r="BQ37" s="22"/>
      <c r="BR37" s="23"/>
      <c r="BS37" s="24"/>
      <c r="BT37" s="24"/>
      <c r="BU37" s="24"/>
      <c r="BV37" s="22"/>
      <c r="BW37" s="23"/>
      <c r="BX37" s="24"/>
      <c r="BY37" s="24"/>
      <c r="BZ37" s="24"/>
      <c r="CA37" s="22"/>
      <c r="CB37" s="23"/>
      <c r="CC37" s="24"/>
      <c r="CD37" s="24"/>
      <c r="CE37" s="24"/>
      <c r="CF37" s="27"/>
      <c r="CG37" s="23"/>
      <c r="CH37" s="24"/>
      <c r="CI37" s="24"/>
      <c r="CJ37" s="24"/>
      <c r="CK37" s="29"/>
      <c r="CL37" s="16"/>
      <c r="CM37" s="31"/>
      <c r="CN37" s="31"/>
      <c r="CO37" s="31"/>
      <c r="CP37" s="29"/>
      <c r="CQ37" s="16"/>
      <c r="CR37" s="31"/>
      <c r="CS37" s="31"/>
      <c r="CT37" s="32"/>
      <c r="CU37" s="33"/>
      <c r="CV37" s="16"/>
      <c r="CW37" s="31"/>
      <c r="CX37" s="31"/>
      <c r="CY37" s="31"/>
      <c r="CZ37" s="16"/>
      <c r="DA37" s="29"/>
      <c r="DB37" s="16"/>
      <c r="DC37" s="31"/>
      <c r="DD37" s="31"/>
      <c r="DE37" s="31"/>
      <c r="DF37" s="29"/>
      <c r="DG37" s="16"/>
      <c r="DH37" s="31"/>
      <c r="DI37" s="31"/>
      <c r="DJ37" s="31"/>
      <c r="DK37" s="29"/>
      <c r="DL37" s="16"/>
      <c r="DM37" s="31"/>
      <c r="DN37" s="31"/>
      <c r="DO37" s="31"/>
      <c r="DP37" s="33"/>
      <c r="DQ37" s="16"/>
      <c r="DR37" s="31"/>
      <c r="DS37" s="31"/>
      <c r="DT37" s="31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31"/>
      <c r="EH37" s="31"/>
      <c r="EI37" s="31"/>
      <c r="EJ37" s="29"/>
      <c r="EK37" s="16"/>
      <c r="EL37" s="31"/>
      <c r="EM37" s="31"/>
      <c r="EN37" s="31"/>
      <c r="EO37" s="29"/>
      <c r="EP37" s="16"/>
      <c r="EQ37" s="31"/>
      <c r="ER37" s="31"/>
      <c r="ES37" s="31"/>
      <c r="ET37" s="29"/>
      <c r="EU37" s="16"/>
      <c r="EV37" s="31"/>
      <c r="EW37" s="31"/>
      <c r="EX37" s="31"/>
      <c r="EY37" s="29"/>
      <c r="EZ37" s="16"/>
      <c r="FA37" s="31"/>
      <c r="FB37" s="31"/>
      <c r="FC37" s="31"/>
      <c r="FD37" s="29"/>
      <c r="FE37" s="16"/>
      <c r="FF37" s="31"/>
      <c r="FG37" s="31"/>
      <c r="FH37" s="31"/>
      <c r="FI37" s="29"/>
      <c r="FJ37" s="16"/>
      <c r="FK37" s="31"/>
      <c r="FL37" s="31"/>
      <c r="FM37" s="31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</row>
    <row r="38" spans="2:256" ht="30" customHeight="1" x14ac:dyDescent="0.25">
      <c r="B38" s="14">
        <v>17715</v>
      </c>
      <c r="C38" s="102">
        <v>244400.29</v>
      </c>
      <c r="D38" s="103" t="s">
        <v>676</v>
      </c>
      <c r="E38" s="104">
        <v>30000</v>
      </c>
      <c r="F38" s="105"/>
      <c r="G38" s="126">
        <v>64963</v>
      </c>
      <c r="H38" s="104">
        <v>65000</v>
      </c>
      <c r="I38" s="104">
        <f>4/3</f>
        <v>1.3333333333333333</v>
      </c>
      <c r="J38" s="116"/>
      <c r="K38" s="107">
        <v>150000</v>
      </c>
      <c r="L38" s="107">
        <v>18039</v>
      </c>
      <c r="M38" s="107">
        <v>174052</v>
      </c>
      <c r="N38" s="108"/>
      <c r="O38" s="109">
        <v>220000</v>
      </c>
      <c r="P38" s="109">
        <v>210000</v>
      </c>
      <c r="Q38" s="109">
        <f>P38/8*4</f>
        <v>105000</v>
      </c>
      <c r="R38" s="107">
        <v>230000</v>
      </c>
      <c r="S38" s="107">
        <v>280000</v>
      </c>
      <c r="T38" s="107">
        <f>Q38+P38</f>
        <v>315000</v>
      </c>
      <c r="U38" s="107">
        <f>S38</f>
        <v>280000</v>
      </c>
      <c r="V38" s="107">
        <v>109729</v>
      </c>
      <c r="W38" s="107">
        <f>V38*2</f>
        <v>219458</v>
      </c>
      <c r="X38" s="110">
        <f>U38</f>
        <v>280000</v>
      </c>
      <c r="Y38" s="107">
        <v>173235</v>
      </c>
      <c r="Z38" s="107">
        <f t="shared" si="1"/>
        <v>207882</v>
      </c>
      <c r="AA38" s="110">
        <v>280000</v>
      </c>
      <c r="AB38" s="110">
        <v>197788</v>
      </c>
      <c r="AC38" s="110">
        <v>220000</v>
      </c>
      <c r="AD38" s="108">
        <f>AC38</f>
        <v>220000</v>
      </c>
      <c r="AE38" s="111">
        <v>250000</v>
      </c>
      <c r="AF38" s="111">
        <v>250000</v>
      </c>
      <c r="AG38" s="24"/>
      <c r="AH38" s="24"/>
      <c r="AI38" s="24"/>
      <c r="AJ38" s="22"/>
      <c r="AK38" s="23"/>
      <c r="AL38" s="24"/>
      <c r="AM38" s="24"/>
      <c r="AN38" s="24"/>
      <c r="AO38" s="24"/>
      <c r="AP38" s="25"/>
      <c r="AQ38" s="26"/>
      <c r="AR38" s="26"/>
      <c r="AS38" s="24"/>
      <c r="AT38" s="24"/>
      <c r="AU38" s="16"/>
      <c r="AV38" s="35"/>
      <c r="AW38" s="35"/>
      <c r="AX38" s="25"/>
      <c r="AY38" s="25"/>
      <c r="AZ38" s="25"/>
      <c r="BA38" s="24"/>
      <c r="BB38" s="16"/>
      <c r="BC38" s="16"/>
      <c r="BD38" s="16"/>
      <c r="BE38" s="16"/>
      <c r="BF38" s="24"/>
      <c r="BG38" s="22"/>
      <c r="BH38" s="23"/>
      <c r="BI38" s="24"/>
      <c r="BJ38" s="24"/>
      <c r="BK38" s="24"/>
      <c r="BL38" s="16"/>
      <c r="BM38" s="16"/>
      <c r="BN38" s="16"/>
      <c r="BO38" s="16"/>
      <c r="BP38" s="16"/>
      <c r="BQ38" s="22"/>
      <c r="BR38" s="23"/>
      <c r="BS38" s="24"/>
      <c r="BT38" s="24"/>
      <c r="BU38" s="24"/>
      <c r="BV38" s="22"/>
      <c r="BW38" s="23"/>
      <c r="BX38" s="24"/>
      <c r="BY38" s="24"/>
      <c r="BZ38" s="24"/>
      <c r="CA38" s="22"/>
      <c r="CB38" s="23"/>
      <c r="CC38" s="24"/>
      <c r="CD38" s="24"/>
      <c r="CE38" s="24"/>
      <c r="CF38" s="27"/>
      <c r="CG38" s="23"/>
      <c r="CH38" s="24"/>
      <c r="CI38" s="24"/>
      <c r="CJ38" s="24"/>
      <c r="CK38" s="29"/>
      <c r="CL38" s="16"/>
      <c r="CM38" s="31"/>
      <c r="CN38" s="31"/>
      <c r="CO38" s="31"/>
      <c r="CP38" s="29"/>
      <c r="CQ38" s="16"/>
      <c r="CR38" s="31"/>
      <c r="CS38" s="31"/>
      <c r="CT38" s="32"/>
      <c r="CU38" s="33"/>
      <c r="CV38" s="16"/>
      <c r="CW38" s="31"/>
      <c r="CX38" s="31"/>
      <c r="CY38" s="31"/>
      <c r="CZ38" s="16"/>
      <c r="DA38" s="29"/>
      <c r="DB38" s="16"/>
      <c r="DC38" s="31"/>
      <c r="DD38" s="31"/>
      <c r="DE38" s="31"/>
      <c r="DF38" s="29"/>
      <c r="DG38" s="16"/>
      <c r="DH38" s="31"/>
      <c r="DI38" s="31"/>
      <c r="DJ38" s="31"/>
      <c r="DK38" s="29"/>
      <c r="DL38" s="16"/>
      <c r="DM38" s="31"/>
      <c r="DN38" s="31"/>
      <c r="DO38" s="31"/>
      <c r="DP38" s="33"/>
      <c r="DQ38" s="16"/>
      <c r="DR38" s="31"/>
      <c r="DS38" s="31"/>
      <c r="DT38" s="31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31"/>
      <c r="EH38" s="31"/>
      <c r="EI38" s="31"/>
      <c r="EJ38" s="29"/>
      <c r="EK38" s="16"/>
      <c r="EL38" s="31"/>
      <c r="EM38" s="31"/>
      <c r="EN38" s="31"/>
      <c r="EO38" s="29"/>
      <c r="EP38" s="16"/>
      <c r="EQ38" s="31"/>
      <c r="ER38" s="31"/>
      <c r="ES38" s="31"/>
      <c r="ET38" s="29"/>
      <c r="EU38" s="16"/>
      <c r="EV38" s="31"/>
      <c r="EW38" s="31"/>
      <c r="EX38" s="31"/>
      <c r="EY38" s="29"/>
      <c r="EZ38" s="16"/>
      <c r="FA38" s="31"/>
      <c r="FB38" s="31"/>
      <c r="FC38" s="31"/>
      <c r="FD38" s="29"/>
      <c r="FE38" s="16"/>
      <c r="FF38" s="31"/>
      <c r="FG38" s="31"/>
      <c r="FH38" s="31"/>
      <c r="FI38" s="29"/>
      <c r="FJ38" s="16"/>
      <c r="FK38" s="31"/>
      <c r="FL38" s="31"/>
      <c r="FM38" s="31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</row>
    <row r="39" spans="2:256" ht="30" customHeight="1" x14ac:dyDescent="0.25">
      <c r="B39" s="14"/>
      <c r="C39" s="113" t="s">
        <v>294</v>
      </c>
      <c r="D39" s="150"/>
      <c r="E39" s="115">
        <f>SUM(E36:E38)</f>
        <v>250000</v>
      </c>
      <c r="F39" s="115">
        <f>SUM(F36:F38)</f>
        <v>0</v>
      </c>
      <c r="G39" s="115">
        <f>SUM(G36:G38)</f>
        <v>156963</v>
      </c>
      <c r="H39" s="115">
        <f>SUM(H36:H38)</f>
        <v>185000</v>
      </c>
      <c r="I39" s="104">
        <f>4/3</f>
        <v>1.3333333333333333</v>
      </c>
      <c r="J39" s="116"/>
      <c r="K39" s="117">
        <f t="shared" ref="K39:X39" si="13">SUM(K36:K38)</f>
        <v>160000</v>
      </c>
      <c r="L39" s="117">
        <f t="shared" si="13"/>
        <v>18039</v>
      </c>
      <c r="M39" s="117">
        <f t="shared" si="13"/>
        <v>174052</v>
      </c>
      <c r="N39" s="117">
        <f t="shared" si="13"/>
        <v>0</v>
      </c>
      <c r="O39" s="118">
        <f t="shared" si="13"/>
        <v>220000</v>
      </c>
      <c r="P39" s="118">
        <f t="shared" si="13"/>
        <v>210000</v>
      </c>
      <c r="Q39" s="118">
        <f t="shared" si="13"/>
        <v>105000</v>
      </c>
      <c r="R39" s="117">
        <f t="shared" si="13"/>
        <v>240000</v>
      </c>
      <c r="S39" s="117">
        <f t="shared" si="13"/>
        <v>290000</v>
      </c>
      <c r="T39" s="117">
        <f t="shared" si="13"/>
        <v>315000</v>
      </c>
      <c r="U39" s="117">
        <f t="shared" si="13"/>
        <v>290000</v>
      </c>
      <c r="V39" s="117">
        <f t="shared" si="13"/>
        <v>152051</v>
      </c>
      <c r="W39" s="117">
        <f t="shared" si="13"/>
        <v>304102</v>
      </c>
      <c r="X39" s="117">
        <f t="shared" si="13"/>
        <v>360000</v>
      </c>
      <c r="Y39" s="117">
        <f t="shared" ref="Y39:AF39" si="14">SUM(Y36:Y38)</f>
        <v>213395</v>
      </c>
      <c r="Z39" s="117">
        <f t="shared" si="14"/>
        <v>256074</v>
      </c>
      <c r="AA39" s="117">
        <f t="shared" si="14"/>
        <v>360000</v>
      </c>
      <c r="AB39" s="117">
        <f t="shared" si="14"/>
        <v>226788</v>
      </c>
      <c r="AC39" s="117">
        <f t="shared" si="14"/>
        <v>300000</v>
      </c>
      <c r="AD39" s="117">
        <f t="shared" si="14"/>
        <v>300000</v>
      </c>
      <c r="AE39" s="117">
        <f t="shared" si="14"/>
        <v>330000</v>
      </c>
      <c r="AF39" s="117">
        <f t="shared" si="14"/>
        <v>330000</v>
      </c>
      <c r="AG39" s="24"/>
      <c r="AH39" s="24"/>
      <c r="AI39" s="24"/>
      <c r="AJ39" s="22"/>
      <c r="AK39" s="23"/>
      <c r="AL39" s="24"/>
      <c r="AM39" s="24"/>
      <c r="AN39" s="24"/>
      <c r="AO39" s="24"/>
      <c r="AP39" s="25"/>
      <c r="AQ39" s="26"/>
      <c r="AR39" s="26"/>
      <c r="AS39" s="24"/>
      <c r="AT39" s="24"/>
      <c r="AU39" s="16"/>
      <c r="AV39" s="35"/>
      <c r="AW39" s="35"/>
      <c r="AX39" s="25"/>
      <c r="AY39" s="25"/>
      <c r="AZ39" s="25"/>
      <c r="BA39" s="24"/>
      <c r="BB39" s="16"/>
      <c r="BC39" s="16"/>
      <c r="BD39" s="16"/>
      <c r="BE39" s="16"/>
      <c r="BF39" s="24"/>
      <c r="BG39" s="22"/>
      <c r="BH39" s="23"/>
      <c r="BI39" s="24"/>
      <c r="BJ39" s="24"/>
      <c r="BK39" s="24"/>
      <c r="BL39" s="16"/>
      <c r="BM39" s="16"/>
      <c r="BN39" s="16"/>
      <c r="BO39" s="16"/>
      <c r="BP39" s="16"/>
      <c r="BQ39" s="22"/>
      <c r="BR39" s="23"/>
      <c r="BS39" s="24"/>
      <c r="BT39" s="24"/>
      <c r="BU39" s="24"/>
      <c r="BV39" s="22"/>
      <c r="BW39" s="23"/>
      <c r="BX39" s="24"/>
      <c r="BY39" s="24"/>
      <c r="BZ39" s="24"/>
      <c r="CA39" s="22"/>
      <c r="CB39" s="23"/>
      <c r="CC39" s="24"/>
      <c r="CD39" s="24"/>
      <c r="CE39" s="24"/>
      <c r="CF39" s="27"/>
      <c r="CG39" s="23"/>
      <c r="CH39" s="24"/>
      <c r="CI39" s="24"/>
      <c r="CJ39" s="24"/>
      <c r="CK39" s="29"/>
      <c r="CL39" s="16"/>
      <c r="CM39" s="31"/>
      <c r="CN39" s="31"/>
      <c r="CO39" s="31"/>
      <c r="CP39" s="29"/>
      <c r="CQ39" s="16"/>
      <c r="CR39" s="31"/>
      <c r="CS39" s="31"/>
      <c r="CT39" s="32"/>
      <c r="CU39" s="33"/>
      <c r="CV39" s="16"/>
      <c r="CW39" s="31"/>
      <c r="CX39" s="31"/>
      <c r="CY39" s="31"/>
      <c r="CZ39" s="16"/>
      <c r="DA39" s="29"/>
      <c r="DB39" s="16"/>
      <c r="DC39" s="31"/>
      <c r="DD39" s="31"/>
      <c r="DE39" s="31"/>
      <c r="DF39" s="29"/>
      <c r="DG39" s="16"/>
      <c r="DH39" s="31"/>
      <c r="DI39" s="31"/>
      <c r="DJ39" s="31"/>
      <c r="DK39" s="29"/>
      <c r="DL39" s="16"/>
      <c r="DM39" s="31"/>
      <c r="DN39" s="31"/>
      <c r="DO39" s="31"/>
      <c r="DP39" s="33"/>
      <c r="DQ39" s="16"/>
      <c r="DR39" s="31"/>
      <c r="DS39" s="31"/>
      <c r="DT39" s="31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31"/>
      <c r="EH39" s="31"/>
      <c r="EI39" s="31"/>
      <c r="EJ39" s="29"/>
      <c r="EK39" s="16"/>
      <c r="EL39" s="31"/>
      <c r="EM39" s="31"/>
      <c r="EN39" s="31"/>
      <c r="EO39" s="29"/>
      <c r="EP39" s="16"/>
      <c r="EQ39" s="31"/>
      <c r="ER39" s="31"/>
      <c r="ES39" s="31"/>
      <c r="ET39" s="29"/>
      <c r="EU39" s="16"/>
      <c r="EV39" s="31"/>
      <c r="EW39" s="31"/>
      <c r="EX39" s="31"/>
      <c r="EY39" s="29"/>
      <c r="EZ39" s="16"/>
      <c r="FA39" s="31"/>
      <c r="FB39" s="31"/>
      <c r="FC39" s="31"/>
      <c r="FD39" s="29"/>
      <c r="FE39" s="16"/>
      <c r="FF39" s="31"/>
      <c r="FG39" s="31"/>
      <c r="FH39" s="31"/>
      <c r="FI39" s="29"/>
      <c r="FJ39" s="16"/>
      <c r="FK39" s="31"/>
      <c r="FL39" s="31"/>
      <c r="FM39" s="31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</row>
    <row r="40" spans="2:256" s="50" customFormat="1" ht="30" customHeight="1" x14ac:dyDescent="0.25">
      <c r="B40" s="51"/>
      <c r="C40" s="140"/>
      <c r="D40" s="144"/>
      <c r="E40" s="142"/>
      <c r="F40" s="142"/>
      <c r="G40" s="142"/>
      <c r="H40" s="142"/>
      <c r="I40" s="146"/>
      <c r="J40" s="147"/>
      <c r="K40" s="148"/>
      <c r="L40" s="148"/>
      <c r="M40" s="107"/>
      <c r="N40" s="108"/>
      <c r="O40" s="109"/>
      <c r="P40" s="109"/>
      <c r="Q40" s="109"/>
      <c r="R40" s="108"/>
      <c r="S40" s="148"/>
      <c r="T40" s="148"/>
      <c r="U40" s="107"/>
      <c r="V40" s="107"/>
      <c r="W40" s="107"/>
      <c r="X40" s="110"/>
      <c r="Y40" s="107"/>
      <c r="Z40" s="107">
        <f t="shared" si="1"/>
        <v>0</v>
      </c>
      <c r="AA40" s="110"/>
      <c r="AB40" s="110"/>
      <c r="AC40" s="110"/>
      <c r="AD40" s="110"/>
      <c r="AE40" s="151"/>
      <c r="AF40" s="151"/>
      <c r="AG40" s="54"/>
      <c r="AH40" s="54"/>
      <c r="AI40" s="54"/>
      <c r="AJ40" s="52"/>
      <c r="AK40" s="53"/>
      <c r="AL40" s="54"/>
      <c r="AM40" s="54"/>
      <c r="AN40" s="54"/>
      <c r="AO40" s="54"/>
      <c r="AP40" s="57"/>
      <c r="AQ40" s="58"/>
      <c r="AR40" s="58"/>
      <c r="AS40" s="54"/>
      <c r="AT40" s="54"/>
      <c r="AU40" s="55"/>
      <c r="AV40" s="59"/>
      <c r="AW40" s="59"/>
      <c r="AX40" s="57"/>
      <c r="AY40" s="57"/>
      <c r="AZ40" s="57"/>
      <c r="BA40" s="54"/>
      <c r="BB40" s="55"/>
      <c r="BC40" s="55"/>
      <c r="BD40" s="55"/>
      <c r="BE40" s="55"/>
      <c r="BF40" s="54"/>
      <c r="BG40" s="52"/>
      <c r="BH40" s="53"/>
      <c r="BI40" s="54"/>
      <c r="BJ40" s="54"/>
      <c r="BK40" s="54"/>
      <c r="BL40" s="55"/>
      <c r="BM40" s="55"/>
      <c r="BN40" s="55"/>
      <c r="BO40" s="55"/>
      <c r="BP40" s="55"/>
      <c r="BQ40" s="52"/>
      <c r="BR40" s="53"/>
      <c r="BS40" s="54"/>
      <c r="BT40" s="54"/>
      <c r="BU40" s="54"/>
      <c r="BV40" s="52"/>
      <c r="BW40" s="53"/>
      <c r="BX40" s="54"/>
      <c r="BY40" s="54"/>
      <c r="BZ40" s="54"/>
      <c r="CA40" s="52"/>
      <c r="CB40" s="53"/>
      <c r="CC40" s="54"/>
      <c r="CD40" s="54"/>
      <c r="CE40" s="54"/>
      <c r="CF40" s="56"/>
      <c r="CG40" s="53"/>
      <c r="CH40" s="54"/>
      <c r="CI40" s="54"/>
      <c r="CJ40" s="54"/>
      <c r="CK40" s="60"/>
      <c r="CL40" s="55"/>
      <c r="CM40" s="61"/>
      <c r="CN40" s="61"/>
      <c r="CO40" s="61"/>
      <c r="CP40" s="60"/>
      <c r="CQ40" s="55"/>
      <c r="CR40" s="61"/>
      <c r="CS40" s="61"/>
      <c r="CT40" s="62"/>
      <c r="CU40" s="63"/>
      <c r="CV40" s="55"/>
      <c r="CW40" s="61"/>
      <c r="CX40" s="61"/>
      <c r="CY40" s="61"/>
      <c r="CZ40" s="55"/>
      <c r="DA40" s="60"/>
      <c r="DB40" s="55"/>
      <c r="DC40" s="61"/>
      <c r="DD40" s="61"/>
      <c r="DE40" s="61"/>
      <c r="DF40" s="60"/>
      <c r="DG40" s="55"/>
      <c r="DH40" s="61"/>
      <c r="DI40" s="61"/>
      <c r="DJ40" s="61"/>
      <c r="DK40" s="60"/>
      <c r="DL40" s="55"/>
      <c r="DM40" s="61"/>
      <c r="DN40" s="61"/>
      <c r="DO40" s="61"/>
      <c r="DP40" s="63"/>
      <c r="DQ40" s="55"/>
      <c r="DR40" s="61"/>
      <c r="DS40" s="61"/>
      <c r="DT40" s="61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61"/>
      <c r="EH40" s="61"/>
      <c r="EI40" s="61"/>
      <c r="EJ40" s="60"/>
      <c r="EK40" s="55"/>
      <c r="EL40" s="61"/>
      <c r="EM40" s="61"/>
      <c r="EN40" s="61"/>
      <c r="EO40" s="60"/>
      <c r="EP40" s="55"/>
      <c r="EQ40" s="61"/>
      <c r="ER40" s="61"/>
      <c r="ES40" s="61"/>
      <c r="ET40" s="60"/>
      <c r="EU40" s="55"/>
      <c r="EV40" s="61"/>
      <c r="EW40" s="61"/>
      <c r="EX40" s="61"/>
      <c r="EY40" s="60"/>
      <c r="EZ40" s="55"/>
      <c r="FA40" s="61"/>
      <c r="FB40" s="61"/>
      <c r="FC40" s="61"/>
      <c r="FD40" s="60"/>
      <c r="FE40" s="55"/>
      <c r="FF40" s="61"/>
      <c r="FG40" s="61"/>
      <c r="FH40" s="61"/>
      <c r="FI40" s="60"/>
      <c r="FJ40" s="55"/>
      <c r="FK40" s="61"/>
      <c r="FL40" s="61"/>
      <c r="FM40" s="61"/>
      <c r="FN40" s="51"/>
      <c r="FO40" s="51"/>
      <c r="FP40" s="51"/>
      <c r="FQ40" s="51"/>
      <c r="FR40" s="51"/>
      <c r="FS40" s="51"/>
      <c r="FT40" s="51"/>
      <c r="FU40" s="51"/>
      <c r="FV40" s="51"/>
      <c r="FW40" s="51"/>
      <c r="FX40" s="51"/>
      <c r="FY40" s="51"/>
      <c r="FZ40" s="51"/>
      <c r="GA40" s="51"/>
      <c r="GB40" s="51"/>
      <c r="GC40" s="51"/>
      <c r="GD40" s="51"/>
      <c r="GE40" s="51"/>
      <c r="GF40" s="51"/>
      <c r="GG40" s="51"/>
      <c r="GH40" s="51"/>
      <c r="GI40" s="51"/>
      <c r="GJ40" s="51"/>
      <c r="GK40" s="51"/>
      <c r="GL40" s="51"/>
      <c r="GM40" s="51"/>
      <c r="GN40" s="51"/>
      <c r="GO40" s="51"/>
      <c r="GP40" s="51"/>
      <c r="GQ40" s="51"/>
      <c r="GR40" s="51"/>
      <c r="GS40" s="51"/>
      <c r="GT40" s="51"/>
      <c r="GU40" s="51"/>
      <c r="GV40" s="51"/>
      <c r="GW40" s="51"/>
      <c r="GX40" s="51"/>
      <c r="GY40" s="51"/>
      <c r="GZ40" s="51"/>
      <c r="HA40" s="51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  <c r="IT40" s="51"/>
      <c r="IU40" s="51"/>
      <c r="IV40" s="51"/>
    </row>
    <row r="41" spans="2:256" ht="30" customHeight="1" x14ac:dyDescent="0.25">
      <c r="B41" s="14"/>
      <c r="C41" s="102">
        <v>269000.21000000002</v>
      </c>
      <c r="D41" s="103" t="s">
        <v>597</v>
      </c>
      <c r="E41" s="104">
        <v>200000</v>
      </c>
      <c r="F41" s="105"/>
      <c r="G41" s="126">
        <f>902260-71000</f>
        <v>831260</v>
      </c>
      <c r="H41" s="104"/>
      <c r="I41" s="104">
        <f>4/3</f>
        <v>1.3333333333333333</v>
      </c>
      <c r="J41" s="116"/>
      <c r="K41" s="107">
        <v>980000</v>
      </c>
      <c r="L41" s="107">
        <v>714000</v>
      </c>
      <c r="M41" s="107">
        <v>364248</v>
      </c>
      <c r="N41" s="108"/>
      <c r="O41" s="109">
        <f>M41*4/3</f>
        <v>485664</v>
      </c>
      <c r="P41" s="109">
        <v>194000</v>
      </c>
      <c r="Q41" s="109">
        <f>P41/8*4</f>
        <v>97000</v>
      </c>
      <c r="R41" s="107">
        <v>980000</v>
      </c>
      <c r="S41" s="107">
        <v>600000</v>
      </c>
      <c r="T41" s="145">
        <f>Q41+P41+200000</f>
        <v>491000</v>
      </c>
      <c r="U41" s="107">
        <f>S41</f>
        <v>600000</v>
      </c>
      <c r="V41" s="107">
        <f>134792+20595+72923</f>
        <v>228310</v>
      </c>
      <c r="W41" s="107">
        <f>V41*2</f>
        <v>456620</v>
      </c>
      <c r="X41" s="110">
        <f>U41</f>
        <v>600000</v>
      </c>
      <c r="Y41" s="107">
        <f>10036+212596</f>
        <v>222632</v>
      </c>
      <c r="Z41" s="107">
        <f t="shared" si="1"/>
        <v>267158.40000000002</v>
      </c>
      <c r="AA41" s="110">
        <v>400000</v>
      </c>
      <c r="AB41" s="110">
        <v>252532</v>
      </c>
      <c r="AC41" s="110">
        <v>365000</v>
      </c>
      <c r="AD41" s="108">
        <f>AC41</f>
        <v>365000</v>
      </c>
      <c r="AE41" s="111">
        <v>470000</v>
      </c>
      <c r="AF41" s="111">
        <v>470000</v>
      </c>
      <c r="AG41" s="24"/>
      <c r="AH41" s="24"/>
      <c r="AI41" s="24"/>
      <c r="AJ41" s="22"/>
      <c r="AK41" s="23"/>
      <c r="AL41" s="24"/>
      <c r="AM41" s="24"/>
      <c r="AN41" s="24"/>
      <c r="AO41" s="24"/>
      <c r="AP41" s="25"/>
      <c r="AQ41" s="26"/>
      <c r="AR41" s="26"/>
      <c r="AS41" s="24"/>
      <c r="AT41" s="24"/>
      <c r="AU41" s="16"/>
      <c r="AV41" s="35"/>
      <c r="AW41" s="35"/>
      <c r="AX41" s="25"/>
      <c r="AY41" s="25"/>
      <c r="AZ41" s="25"/>
      <c r="BA41" s="24"/>
      <c r="BB41" s="16"/>
      <c r="BC41" s="16"/>
      <c r="BD41" s="16"/>
      <c r="BE41" s="16"/>
      <c r="BF41" s="24"/>
      <c r="BG41" s="22"/>
      <c r="BH41" s="23"/>
      <c r="BI41" s="24"/>
      <c r="BJ41" s="24"/>
      <c r="BK41" s="24"/>
      <c r="BL41" s="16"/>
      <c r="BM41" s="16"/>
      <c r="BN41" s="16"/>
      <c r="BO41" s="16"/>
      <c r="BP41" s="16"/>
      <c r="BQ41" s="22"/>
      <c r="BR41" s="23"/>
      <c r="BS41" s="24"/>
      <c r="BT41" s="24"/>
      <c r="BU41" s="24"/>
      <c r="BV41" s="22"/>
      <c r="BW41" s="23"/>
      <c r="BX41" s="24"/>
      <c r="BY41" s="24"/>
      <c r="BZ41" s="24"/>
      <c r="CA41" s="22"/>
      <c r="CB41" s="23"/>
      <c r="CC41" s="24"/>
      <c r="CD41" s="24"/>
      <c r="CE41" s="24"/>
      <c r="CF41" s="27"/>
      <c r="CG41" s="23"/>
      <c r="CH41" s="24"/>
      <c r="CI41" s="24"/>
      <c r="CJ41" s="24"/>
      <c r="CK41" s="29"/>
      <c r="CL41" s="16"/>
      <c r="CM41" s="31"/>
      <c r="CN41" s="31"/>
      <c r="CO41" s="31"/>
      <c r="CP41" s="29"/>
      <c r="CQ41" s="16"/>
      <c r="CR41" s="31"/>
      <c r="CS41" s="31"/>
      <c r="CT41" s="32"/>
      <c r="CU41" s="33"/>
      <c r="CV41" s="16"/>
      <c r="CW41" s="31"/>
      <c r="CX41" s="31"/>
      <c r="CY41" s="31"/>
      <c r="CZ41" s="16"/>
      <c r="DA41" s="29"/>
      <c r="DB41" s="16"/>
      <c r="DC41" s="31"/>
      <c r="DD41" s="31"/>
      <c r="DE41" s="31"/>
      <c r="DF41" s="29"/>
      <c r="DG41" s="16"/>
      <c r="DH41" s="31"/>
      <c r="DI41" s="31"/>
      <c r="DJ41" s="31"/>
      <c r="DK41" s="29"/>
      <c r="DL41" s="16"/>
      <c r="DM41" s="31"/>
      <c r="DN41" s="31"/>
      <c r="DO41" s="31"/>
      <c r="DP41" s="33"/>
      <c r="DQ41" s="16"/>
      <c r="DR41" s="31"/>
      <c r="DS41" s="31"/>
      <c r="DT41" s="31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31"/>
      <c r="EH41" s="31"/>
      <c r="EI41" s="31"/>
      <c r="EJ41" s="29"/>
      <c r="EK41" s="16"/>
      <c r="EL41" s="31"/>
      <c r="EM41" s="31"/>
      <c r="EN41" s="31"/>
      <c r="EO41" s="29"/>
      <c r="EP41" s="16"/>
      <c r="EQ41" s="31"/>
      <c r="ER41" s="31"/>
      <c r="ES41" s="31"/>
      <c r="ET41" s="29"/>
      <c r="EU41" s="16"/>
      <c r="EV41" s="31"/>
      <c r="EW41" s="31"/>
      <c r="EX41" s="31"/>
      <c r="EY41" s="29"/>
      <c r="EZ41" s="16"/>
      <c r="FA41" s="31"/>
      <c r="FB41" s="31"/>
      <c r="FC41" s="31"/>
      <c r="FD41" s="29"/>
      <c r="FE41" s="16"/>
      <c r="FF41" s="31"/>
      <c r="FG41" s="31"/>
      <c r="FH41" s="31"/>
      <c r="FI41" s="29"/>
      <c r="FJ41" s="16"/>
      <c r="FK41" s="31"/>
      <c r="FL41" s="31"/>
      <c r="FM41" s="31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</row>
    <row r="42" spans="2:256" ht="30" customHeight="1" x14ac:dyDescent="0.25">
      <c r="B42" s="14">
        <v>259581</v>
      </c>
      <c r="C42" s="102">
        <v>269000.78999999998</v>
      </c>
      <c r="D42" s="103" t="s">
        <v>677</v>
      </c>
      <c r="E42" s="104">
        <v>50000</v>
      </c>
      <c r="F42" s="105"/>
      <c r="G42" s="126">
        <v>71000</v>
      </c>
      <c r="H42" s="104">
        <f>265000+150000</f>
        <v>415000</v>
      </c>
      <c r="I42" s="104">
        <f>4/3</f>
        <v>1.3333333333333333</v>
      </c>
      <c r="J42" s="116"/>
      <c r="K42" s="107">
        <v>120000</v>
      </c>
      <c r="L42" s="107">
        <v>327942</v>
      </c>
      <c r="M42" s="107">
        <v>163538</v>
      </c>
      <c r="N42" s="108"/>
      <c r="O42" s="109">
        <f>M42*4/3</f>
        <v>218050.66666666666</v>
      </c>
      <c r="P42" s="109">
        <v>223000</v>
      </c>
      <c r="Q42" s="109">
        <f>P42*4/8</f>
        <v>111500</v>
      </c>
      <c r="R42" s="107">
        <v>60000</v>
      </c>
      <c r="S42" s="107">
        <v>60000</v>
      </c>
      <c r="T42" s="145">
        <f>Q42+P42-200000</f>
        <v>134500</v>
      </c>
      <c r="U42" s="107">
        <v>162410</v>
      </c>
      <c r="V42" s="107">
        <v>25400</v>
      </c>
      <c r="W42" s="107">
        <f>V42*2+20000</f>
        <v>70800</v>
      </c>
      <c r="X42" s="110">
        <f>U42</f>
        <v>162410</v>
      </c>
      <c r="Y42" s="107">
        <v>230277</v>
      </c>
      <c r="Z42" s="107">
        <f t="shared" si="1"/>
        <v>276332.40000000002</v>
      </c>
      <c r="AA42" s="110">
        <v>300000</v>
      </c>
      <c r="AB42" s="110">
        <v>265073</v>
      </c>
      <c r="AC42" s="110">
        <v>300000</v>
      </c>
      <c r="AD42" s="108">
        <f>AC42</f>
        <v>300000</v>
      </c>
      <c r="AE42" s="120">
        <v>250000</v>
      </c>
      <c r="AF42" s="120">
        <v>300000</v>
      </c>
      <c r="AG42" s="24"/>
      <c r="AH42" s="24"/>
      <c r="AI42" s="24"/>
      <c r="AJ42" s="16"/>
      <c r="AK42" s="16"/>
      <c r="AL42" s="37"/>
      <c r="AM42" s="37"/>
      <c r="AN42" s="37"/>
      <c r="AO42" s="37"/>
      <c r="AP42" s="16"/>
      <c r="AQ42" s="16"/>
      <c r="AR42" s="16"/>
      <c r="AS42" s="38"/>
      <c r="AT42" s="38"/>
      <c r="AU42" s="16"/>
      <c r="AV42" s="16"/>
      <c r="AW42" s="16"/>
      <c r="AX42" s="16"/>
      <c r="AY42" s="16"/>
      <c r="AZ42" s="16"/>
      <c r="BA42" s="24"/>
      <c r="BB42" s="16"/>
      <c r="BC42" s="16"/>
      <c r="BD42" s="16"/>
      <c r="BE42" s="16"/>
      <c r="BF42" s="16"/>
      <c r="BG42" s="29"/>
      <c r="BH42" s="16"/>
      <c r="BI42" s="31"/>
      <c r="BJ42" s="31"/>
      <c r="BK42" s="31"/>
      <c r="BL42" s="16"/>
      <c r="BM42" s="16"/>
      <c r="BN42" s="16"/>
      <c r="BO42" s="16"/>
      <c r="BP42" s="16"/>
      <c r="BQ42" s="29"/>
      <c r="BR42" s="16"/>
      <c r="BS42" s="31"/>
      <c r="BT42" s="31"/>
      <c r="BU42" s="31"/>
      <c r="BV42" s="16"/>
      <c r="BW42" s="16"/>
      <c r="BX42" s="31"/>
      <c r="BY42" s="31"/>
      <c r="BZ42" s="31"/>
      <c r="CA42" s="29"/>
      <c r="CB42" s="16"/>
      <c r="CC42" s="31"/>
      <c r="CD42" s="31"/>
      <c r="CE42" s="31"/>
      <c r="CF42" s="33"/>
      <c r="CG42" s="16"/>
      <c r="CH42" s="31"/>
      <c r="CI42" s="31"/>
      <c r="CJ42" s="31"/>
      <c r="CK42" s="29"/>
      <c r="CL42" s="16"/>
      <c r="CM42" s="31"/>
      <c r="CN42" s="31"/>
      <c r="CO42" s="31"/>
      <c r="CP42" s="29"/>
      <c r="CQ42" s="16"/>
      <c r="CR42" s="31"/>
      <c r="CS42" s="31"/>
      <c r="CT42" s="32"/>
      <c r="CU42" s="16"/>
      <c r="CV42" s="16"/>
      <c r="CW42" s="31"/>
      <c r="CX42" s="31"/>
      <c r="CY42" s="31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29"/>
      <c r="EK42" s="16"/>
      <c r="EL42" s="31"/>
      <c r="EM42" s="31"/>
      <c r="EN42" s="31"/>
      <c r="EO42" s="29"/>
      <c r="EP42" s="16"/>
      <c r="EQ42" s="31"/>
      <c r="ER42" s="31"/>
      <c r="ES42" s="31"/>
      <c r="ET42" s="29"/>
      <c r="EU42" s="16"/>
      <c r="EV42" s="31"/>
      <c r="EW42" s="31"/>
      <c r="EX42" s="31"/>
      <c r="EY42" s="29"/>
      <c r="EZ42" s="16"/>
      <c r="FA42" s="31"/>
      <c r="FB42" s="31"/>
      <c r="FC42" s="31"/>
      <c r="FD42" s="29"/>
      <c r="FE42" s="16"/>
      <c r="FF42" s="31"/>
      <c r="FG42" s="31"/>
      <c r="FH42" s="31"/>
      <c r="FI42" s="29"/>
      <c r="FJ42" s="16"/>
      <c r="FK42" s="31"/>
      <c r="FL42" s="31"/>
      <c r="FM42" s="31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</row>
    <row r="43" spans="2:256" ht="30" customHeight="1" x14ac:dyDescent="0.25">
      <c r="B43" s="14"/>
      <c r="C43" s="131" t="s">
        <v>275</v>
      </c>
      <c r="D43" s="114" t="s">
        <v>276</v>
      </c>
      <c r="E43" s="115">
        <f>SUM(E41:E42)</f>
        <v>250000</v>
      </c>
      <c r="F43" s="115">
        <f t="shared" ref="F43:K43" si="15">SUM(F41:F42)</f>
        <v>0</v>
      </c>
      <c r="G43" s="115">
        <f t="shared" si="15"/>
        <v>902260</v>
      </c>
      <c r="H43" s="115">
        <f t="shared" si="15"/>
        <v>415000</v>
      </c>
      <c r="I43" s="115">
        <f t="shared" si="15"/>
        <v>2.6666666666666665</v>
      </c>
      <c r="J43" s="115">
        <f t="shared" si="15"/>
        <v>0</v>
      </c>
      <c r="K43" s="117">
        <f t="shared" si="15"/>
        <v>1100000</v>
      </c>
      <c r="L43" s="117">
        <f t="shared" ref="L43:X43" si="16">SUM(L41:L42)</f>
        <v>1041942</v>
      </c>
      <c r="M43" s="117">
        <f t="shared" si="16"/>
        <v>527786</v>
      </c>
      <c r="N43" s="117">
        <f t="shared" si="16"/>
        <v>0</v>
      </c>
      <c r="O43" s="118">
        <f t="shared" si="16"/>
        <v>703714.66666666663</v>
      </c>
      <c r="P43" s="118">
        <f t="shared" si="16"/>
        <v>417000</v>
      </c>
      <c r="Q43" s="118">
        <f t="shared" si="16"/>
        <v>208500</v>
      </c>
      <c r="R43" s="117">
        <f>SUM(R41:R42)</f>
        <v>1040000</v>
      </c>
      <c r="S43" s="117">
        <f t="shared" si="16"/>
        <v>660000</v>
      </c>
      <c r="T43" s="117">
        <f t="shared" si="16"/>
        <v>625500</v>
      </c>
      <c r="U43" s="117">
        <f t="shared" si="16"/>
        <v>762410</v>
      </c>
      <c r="V43" s="117">
        <f t="shared" si="16"/>
        <v>253710</v>
      </c>
      <c r="W43" s="117">
        <f t="shared" si="16"/>
        <v>527420</v>
      </c>
      <c r="X43" s="117">
        <f t="shared" si="16"/>
        <v>762410</v>
      </c>
      <c r="Y43" s="117">
        <f t="shared" ref="Y43:AF43" si="17">SUM(Y41:Y42)</f>
        <v>452909</v>
      </c>
      <c r="Z43" s="117">
        <f t="shared" si="17"/>
        <v>543490.80000000005</v>
      </c>
      <c r="AA43" s="117">
        <f t="shared" si="17"/>
        <v>700000</v>
      </c>
      <c r="AB43" s="117">
        <f t="shared" si="17"/>
        <v>517605</v>
      </c>
      <c r="AC43" s="117">
        <f t="shared" si="17"/>
        <v>665000</v>
      </c>
      <c r="AD43" s="117">
        <f t="shared" si="17"/>
        <v>665000</v>
      </c>
      <c r="AE43" s="117">
        <f t="shared" si="17"/>
        <v>720000</v>
      </c>
      <c r="AF43" s="117">
        <f t="shared" si="17"/>
        <v>770000</v>
      </c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31"/>
      <c r="BO43" s="31"/>
      <c r="BP43" s="31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36"/>
      <c r="CN43" s="36"/>
      <c r="CO43" s="3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</row>
    <row r="44" spans="2:256" ht="30" customHeight="1" x14ac:dyDescent="0.25">
      <c r="B44" s="14"/>
      <c r="C44" s="152"/>
      <c r="D44" s="153"/>
      <c r="E44" s="104"/>
      <c r="F44" s="105"/>
      <c r="G44" s="126"/>
      <c r="H44" s="104"/>
      <c r="I44" s="104">
        <f t="shared" ref="I44:I49" si="18">4/3</f>
        <v>1.3333333333333333</v>
      </c>
      <c r="J44" s="154"/>
      <c r="K44" s="107"/>
      <c r="L44" s="107"/>
      <c r="M44" s="107"/>
      <c r="N44" s="108"/>
      <c r="O44" s="109"/>
      <c r="P44" s="109"/>
      <c r="Q44" s="109"/>
      <c r="R44" s="107"/>
      <c r="S44" s="107"/>
      <c r="T44" s="107"/>
      <c r="U44" s="107"/>
      <c r="V44" s="107"/>
      <c r="W44" s="107"/>
      <c r="X44" s="110"/>
      <c r="Y44" s="107"/>
      <c r="Z44" s="107">
        <f t="shared" si="1"/>
        <v>0</v>
      </c>
      <c r="AA44" s="110"/>
      <c r="AB44" s="110"/>
      <c r="AC44" s="110"/>
      <c r="AD44" s="110"/>
      <c r="AE44" s="152"/>
      <c r="AF44" s="152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36"/>
      <c r="CN44" s="36"/>
      <c r="CO44" s="3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</row>
    <row r="45" spans="2:256" ht="30" customHeight="1" x14ac:dyDescent="0.25">
      <c r="B45" s="14">
        <v>287</v>
      </c>
      <c r="C45" s="102">
        <v>282000.69</v>
      </c>
      <c r="D45" s="103" t="s">
        <v>295</v>
      </c>
      <c r="E45" s="104">
        <v>0</v>
      </c>
      <c r="F45" s="105"/>
      <c r="G45" s="126">
        <v>10708</v>
      </c>
      <c r="H45" s="104">
        <v>10000</v>
      </c>
      <c r="I45" s="104">
        <f t="shared" si="18"/>
        <v>1.3333333333333333</v>
      </c>
      <c r="J45" s="154"/>
      <c r="K45" s="107">
        <v>10000</v>
      </c>
      <c r="L45" s="107">
        <v>0</v>
      </c>
      <c r="M45" s="107">
        <v>0</v>
      </c>
      <c r="N45" s="108"/>
      <c r="O45" s="109">
        <f>M45*4/3</f>
        <v>0</v>
      </c>
      <c r="P45" s="109">
        <v>0</v>
      </c>
      <c r="Q45" s="109">
        <v>0</v>
      </c>
      <c r="R45" s="107">
        <v>10000</v>
      </c>
      <c r="S45" s="107">
        <v>0</v>
      </c>
      <c r="T45" s="107">
        <f>Q45+P45</f>
        <v>0</v>
      </c>
      <c r="U45" s="107">
        <f>S45</f>
        <v>0</v>
      </c>
      <c r="V45" s="107">
        <v>5968</v>
      </c>
      <c r="W45" s="107">
        <v>5968</v>
      </c>
      <c r="X45" s="110">
        <v>6000</v>
      </c>
      <c r="Y45" s="107">
        <v>8968</v>
      </c>
      <c r="Z45" s="107">
        <f t="shared" si="1"/>
        <v>10761.6</v>
      </c>
      <c r="AA45" s="110">
        <v>10000</v>
      </c>
      <c r="AB45" s="110">
        <v>2512</v>
      </c>
      <c r="AC45" s="110">
        <v>3000</v>
      </c>
      <c r="AD45" s="108">
        <f>AC45</f>
        <v>3000</v>
      </c>
      <c r="AE45" s="107">
        <v>6000</v>
      </c>
      <c r="AF45" s="107">
        <v>6000</v>
      </c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36"/>
      <c r="CN45" s="36"/>
      <c r="CO45" s="3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</row>
    <row r="46" spans="2:256" ht="30" customHeight="1" x14ac:dyDescent="0.25">
      <c r="B46" s="14"/>
      <c r="C46" s="102">
        <v>282000.69099999999</v>
      </c>
      <c r="D46" s="103" t="s">
        <v>633</v>
      </c>
      <c r="E46" s="104"/>
      <c r="F46" s="105"/>
      <c r="G46" s="126"/>
      <c r="H46" s="104"/>
      <c r="I46" s="104"/>
      <c r="J46" s="154"/>
      <c r="K46" s="107"/>
      <c r="L46" s="107"/>
      <c r="M46" s="107"/>
      <c r="N46" s="108"/>
      <c r="O46" s="109"/>
      <c r="P46" s="109"/>
      <c r="Q46" s="109"/>
      <c r="R46" s="107"/>
      <c r="S46" s="107"/>
      <c r="T46" s="107"/>
      <c r="U46" s="107"/>
      <c r="V46" s="107"/>
      <c r="W46" s="107"/>
      <c r="X46" s="110"/>
      <c r="Y46" s="107"/>
      <c r="Z46" s="107"/>
      <c r="AA46" s="110"/>
      <c r="AB46" s="110">
        <v>62287</v>
      </c>
      <c r="AC46" s="110">
        <v>70000</v>
      </c>
      <c r="AD46" s="108">
        <f>AC46</f>
        <v>70000</v>
      </c>
      <c r="AE46" s="153"/>
      <c r="AF46" s="153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36"/>
      <c r="CN46" s="36"/>
      <c r="CO46" s="3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</row>
    <row r="47" spans="2:256" ht="30" customHeight="1" x14ac:dyDescent="0.25">
      <c r="B47" s="14"/>
      <c r="C47" s="129"/>
      <c r="D47" s="155"/>
      <c r="E47" s="104"/>
      <c r="F47" s="105"/>
      <c r="G47" s="126"/>
      <c r="H47" s="104"/>
      <c r="I47" s="104">
        <f t="shared" si="18"/>
        <v>1.3333333333333333</v>
      </c>
      <c r="J47" s="154"/>
      <c r="K47" s="107"/>
      <c r="L47" s="107"/>
      <c r="M47" s="107"/>
      <c r="N47" s="108"/>
      <c r="O47" s="109"/>
      <c r="P47" s="109"/>
      <c r="Q47" s="109"/>
      <c r="R47" s="107"/>
      <c r="S47" s="107"/>
      <c r="T47" s="107"/>
      <c r="U47" s="107"/>
      <c r="V47" s="107"/>
      <c r="W47" s="107"/>
      <c r="X47" s="110"/>
      <c r="Y47" s="107"/>
      <c r="Z47" s="107">
        <f t="shared" si="1"/>
        <v>0</v>
      </c>
      <c r="AA47" s="110"/>
      <c r="AB47" s="110"/>
      <c r="AC47" s="110"/>
      <c r="AD47" s="110"/>
      <c r="AE47" s="152"/>
      <c r="AF47" s="152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36"/>
      <c r="CN47" s="36"/>
      <c r="CO47" s="3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</row>
    <row r="48" spans="2:256" ht="30" customHeight="1" x14ac:dyDescent="0.25">
      <c r="B48" s="14"/>
      <c r="C48" s="113" t="s">
        <v>296</v>
      </c>
      <c r="D48" s="156"/>
      <c r="E48" s="115">
        <f>E43+E39+E45+E30+E35</f>
        <v>523000</v>
      </c>
      <c r="F48" s="115">
        <f>F43+F39+F45+F30+F35</f>
        <v>0</v>
      </c>
      <c r="G48" s="115">
        <f>G43+G39+G45+G30+G35</f>
        <v>1077131</v>
      </c>
      <c r="H48" s="115">
        <f>H43+H39+H45+H30+H35</f>
        <v>1092500</v>
      </c>
      <c r="I48" s="104">
        <f t="shared" si="18"/>
        <v>1.3333333333333333</v>
      </c>
      <c r="J48" s="154"/>
      <c r="K48" s="117">
        <f t="shared" ref="K48:Z48" si="19">K43+K39+K45+K30+K35</f>
        <v>2030000</v>
      </c>
      <c r="L48" s="117">
        <f t="shared" si="19"/>
        <v>1150296</v>
      </c>
      <c r="M48" s="117">
        <f t="shared" si="19"/>
        <v>891200</v>
      </c>
      <c r="N48" s="117">
        <f t="shared" si="19"/>
        <v>0</v>
      </c>
      <c r="O48" s="118">
        <f t="shared" si="19"/>
        <v>1390025.3333333333</v>
      </c>
      <c r="P48" s="118">
        <f t="shared" si="19"/>
        <v>979181</v>
      </c>
      <c r="Q48" s="118">
        <f t="shared" si="19"/>
        <v>880797</v>
      </c>
      <c r="R48" s="117">
        <f t="shared" si="19"/>
        <v>2229478</v>
      </c>
      <c r="S48" s="117">
        <f t="shared" si="19"/>
        <v>1889500</v>
      </c>
      <c r="T48" s="117">
        <f t="shared" si="19"/>
        <v>1879978</v>
      </c>
      <c r="U48" s="117">
        <f t="shared" si="19"/>
        <v>1505810</v>
      </c>
      <c r="V48" s="117">
        <f t="shared" si="19"/>
        <v>571358.28</v>
      </c>
      <c r="W48" s="117">
        <f t="shared" si="19"/>
        <v>1256748.56</v>
      </c>
      <c r="X48" s="117">
        <f t="shared" si="19"/>
        <v>1581810</v>
      </c>
      <c r="Y48" s="117">
        <f t="shared" si="19"/>
        <v>1108985</v>
      </c>
      <c r="Z48" s="117">
        <f t="shared" si="19"/>
        <v>1330782</v>
      </c>
      <c r="AA48" s="117">
        <f t="shared" ref="AA48:AF48" si="20">AA43+AA39+AA45+AA30+AA35+AA46</f>
        <v>1948666</v>
      </c>
      <c r="AB48" s="117">
        <f t="shared" si="20"/>
        <v>1721903</v>
      </c>
      <c r="AC48" s="117">
        <f t="shared" si="20"/>
        <v>2261800</v>
      </c>
      <c r="AD48" s="117">
        <f t="shared" si="20"/>
        <v>2261800</v>
      </c>
      <c r="AE48" s="117">
        <f t="shared" si="20"/>
        <v>2754800</v>
      </c>
      <c r="AF48" s="117">
        <f t="shared" si="20"/>
        <v>2915500</v>
      </c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36"/>
      <c r="CN48" s="36"/>
      <c r="CO48" s="3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</row>
    <row r="49" spans="2:256" ht="30" customHeight="1" x14ac:dyDescent="0.25">
      <c r="B49" s="14"/>
      <c r="C49" s="129"/>
      <c r="D49" s="155"/>
      <c r="E49" s="104"/>
      <c r="F49" s="105"/>
      <c r="G49" s="126"/>
      <c r="H49" s="104"/>
      <c r="I49" s="104">
        <f t="shared" si="18"/>
        <v>1.3333333333333333</v>
      </c>
      <c r="J49" s="154"/>
      <c r="K49" s="107"/>
      <c r="L49" s="107"/>
      <c r="M49" s="107"/>
      <c r="N49" s="108"/>
      <c r="O49" s="109"/>
      <c r="P49" s="109"/>
      <c r="Q49" s="109"/>
      <c r="R49" s="107"/>
      <c r="S49" s="107"/>
      <c r="T49" s="107"/>
      <c r="U49" s="107"/>
      <c r="V49" s="107"/>
      <c r="W49" s="107"/>
      <c r="X49" s="110"/>
      <c r="Y49" s="107"/>
      <c r="Z49" s="107">
        <f t="shared" si="1"/>
        <v>0</v>
      </c>
      <c r="AA49" s="110"/>
      <c r="AB49" s="110"/>
      <c r="AC49" s="110"/>
      <c r="AD49" s="110"/>
      <c r="AE49" s="152"/>
      <c r="AF49" s="152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36"/>
      <c r="CN49" s="36"/>
      <c r="CO49" s="3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4"/>
      <c r="IT49" s="14"/>
      <c r="IU49" s="14"/>
      <c r="IV49" s="14"/>
    </row>
    <row r="50" spans="2:256" ht="30" customHeight="1" x14ac:dyDescent="0.25">
      <c r="B50" s="14"/>
      <c r="C50" s="157">
        <v>312003.92</v>
      </c>
      <c r="D50" s="103" t="s">
        <v>526</v>
      </c>
      <c r="E50" s="104"/>
      <c r="F50" s="105"/>
      <c r="G50" s="126"/>
      <c r="H50" s="104"/>
      <c r="I50" s="104"/>
      <c r="J50" s="154"/>
      <c r="K50" s="107"/>
      <c r="L50" s="107"/>
      <c r="M50" s="107"/>
      <c r="N50" s="108"/>
      <c r="O50" s="109"/>
      <c r="P50" s="109"/>
      <c r="Q50" s="109"/>
      <c r="R50" s="107"/>
      <c r="S50" s="107"/>
      <c r="T50" s="107">
        <f t="shared" ref="T50:T55" si="21">Q50+P50</f>
        <v>0</v>
      </c>
      <c r="U50" s="107">
        <v>6438500</v>
      </c>
      <c r="V50" s="107">
        <v>3699899.17</v>
      </c>
      <c r="W50" s="107">
        <f>V50*2</f>
        <v>7399798.3399999999</v>
      </c>
      <c r="X50" s="110">
        <v>7400000</v>
      </c>
      <c r="Y50" s="107">
        <v>4848177</v>
      </c>
      <c r="Z50" s="107">
        <f t="shared" si="1"/>
        <v>5817812.4000000004</v>
      </c>
      <c r="AA50" s="110">
        <v>5700000</v>
      </c>
      <c r="AB50" s="110">
        <f>4097069+591685+3308</f>
        <v>4692062</v>
      </c>
      <c r="AC50" s="110">
        <v>5700000</v>
      </c>
      <c r="AD50" s="108">
        <f t="shared" ref="AD50:AD57" si="22">AC50</f>
        <v>5700000</v>
      </c>
      <c r="AE50" s="107">
        <v>6000000</v>
      </c>
      <c r="AF50" s="107">
        <v>7000000</v>
      </c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36"/>
      <c r="CN50" s="36"/>
      <c r="CO50" s="3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</row>
    <row r="51" spans="2:256" ht="30" customHeight="1" x14ac:dyDescent="0.25">
      <c r="B51" s="14"/>
      <c r="C51" s="157">
        <v>312004.92</v>
      </c>
      <c r="D51" s="144" t="s">
        <v>612</v>
      </c>
      <c r="E51" s="146"/>
      <c r="F51" s="105"/>
      <c r="G51" s="105"/>
      <c r="H51" s="146"/>
      <c r="I51" s="146"/>
      <c r="J51" s="158"/>
      <c r="K51" s="148"/>
      <c r="L51" s="148"/>
      <c r="M51" s="148"/>
      <c r="N51" s="109"/>
      <c r="O51" s="109"/>
      <c r="P51" s="109"/>
      <c r="Q51" s="109"/>
      <c r="R51" s="148"/>
      <c r="S51" s="148"/>
      <c r="T51" s="148"/>
      <c r="U51" s="148"/>
      <c r="V51" s="148"/>
      <c r="W51" s="148"/>
      <c r="X51" s="149"/>
      <c r="Y51" s="148"/>
      <c r="Z51" s="148">
        <f t="shared" si="1"/>
        <v>0</v>
      </c>
      <c r="AA51" s="149">
        <v>320000</v>
      </c>
      <c r="AB51" s="149"/>
      <c r="AC51" s="149">
        <v>320000</v>
      </c>
      <c r="AD51" s="109">
        <f t="shared" si="22"/>
        <v>320000</v>
      </c>
      <c r="AE51" s="107">
        <v>320000</v>
      </c>
      <c r="AF51" s="148">
        <v>1230000</v>
      </c>
      <c r="AG51" s="16" t="s">
        <v>699</v>
      </c>
      <c r="AH51" s="16">
        <v>1</v>
      </c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36"/>
      <c r="CN51" s="36"/>
      <c r="CO51" s="3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</row>
    <row r="52" spans="2:256" ht="30" customHeight="1" x14ac:dyDescent="0.25">
      <c r="B52" s="14"/>
      <c r="C52" s="157">
        <v>312019.92</v>
      </c>
      <c r="D52" s="144" t="s">
        <v>527</v>
      </c>
      <c r="E52" s="146"/>
      <c r="F52" s="105"/>
      <c r="G52" s="105"/>
      <c r="H52" s="146"/>
      <c r="I52" s="146"/>
      <c r="J52" s="158"/>
      <c r="K52" s="148"/>
      <c r="L52" s="148"/>
      <c r="M52" s="148"/>
      <c r="N52" s="109"/>
      <c r="O52" s="109"/>
      <c r="P52" s="109"/>
      <c r="Q52" s="109"/>
      <c r="R52" s="148"/>
      <c r="S52" s="148"/>
      <c r="T52" s="148">
        <f t="shared" si="21"/>
        <v>0</v>
      </c>
      <c r="U52" s="148">
        <f>2757940+200000</f>
        <v>2957940</v>
      </c>
      <c r="V52" s="148">
        <v>1529537.23</v>
      </c>
      <c r="W52" s="148">
        <f>V52*2</f>
        <v>3059074.46</v>
      </c>
      <c r="X52" s="149">
        <v>3060000</v>
      </c>
      <c r="Y52" s="148">
        <v>2481231</v>
      </c>
      <c r="Z52" s="148">
        <f t="shared" si="1"/>
        <v>2977477.2</v>
      </c>
      <c r="AA52" s="149">
        <v>3000000</v>
      </c>
      <c r="AB52" s="149">
        <f>2311412+216037+5751</f>
        <v>2533200</v>
      </c>
      <c r="AC52" s="149">
        <v>3000000</v>
      </c>
      <c r="AD52" s="109">
        <f t="shared" si="22"/>
        <v>3000000</v>
      </c>
      <c r="AE52" s="107">
        <v>2640000</v>
      </c>
      <c r="AF52" s="107">
        <v>3100000</v>
      </c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36"/>
      <c r="CN52" s="36"/>
      <c r="CO52" s="3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</row>
    <row r="53" spans="2:256" ht="30" customHeight="1" x14ac:dyDescent="0.25">
      <c r="B53" s="14"/>
      <c r="C53" s="157">
        <v>312157.92</v>
      </c>
      <c r="D53" s="144" t="s">
        <v>528</v>
      </c>
      <c r="E53" s="146"/>
      <c r="F53" s="105"/>
      <c r="G53" s="105"/>
      <c r="H53" s="146"/>
      <c r="I53" s="146"/>
      <c r="J53" s="158"/>
      <c r="K53" s="148"/>
      <c r="L53" s="148"/>
      <c r="M53" s="148"/>
      <c r="N53" s="109"/>
      <c r="O53" s="109"/>
      <c r="P53" s="109"/>
      <c r="Q53" s="109"/>
      <c r="R53" s="148"/>
      <c r="S53" s="148"/>
      <c r="T53" s="148">
        <f t="shared" si="21"/>
        <v>0</v>
      </c>
      <c r="U53" s="148">
        <v>64975</v>
      </c>
      <c r="V53" s="148">
        <v>0</v>
      </c>
      <c r="W53" s="148">
        <v>64975</v>
      </c>
      <c r="X53" s="149">
        <f>U53</f>
        <v>64975</v>
      </c>
      <c r="Y53" s="148">
        <v>60525</v>
      </c>
      <c r="Z53" s="148">
        <f t="shared" si="1"/>
        <v>72630</v>
      </c>
      <c r="AA53" s="149">
        <v>64975</v>
      </c>
      <c r="AB53" s="149">
        <v>60525</v>
      </c>
      <c r="AC53" s="149">
        <v>63800</v>
      </c>
      <c r="AD53" s="109">
        <f t="shared" si="22"/>
        <v>63800</v>
      </c>
      <c r="AE53" s="107">
        <v>60000</v>
      </c>
      <c r="AF53" s="107">
        <v>60000</v>
      </c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36"/>
      <c r="CN53" s="36"/>
      <c r="CO53" s="3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4"/>
      <c r="IV53" s="14"/>
    </row>
    <row r="54" spans="2:256" ht="30" customHeight="1" x14ac:dyDescent="0.25">
      <c r="B54" s="14"/>
      <c r="C54" s="157">
        <v>312158.92</v>
      </c>
      <c r="D54" s="144" t="s">
        <v>529</v>
      </c>
      <c r="E54" s="146"/>
      <c r="F54" s="105"/>
      <c r="G54" s="105"/>
      <c r="H54" s="146"/>
      <c r="I54" s="146"/>
      <c r="J54" s="158"/>
      <c r="K54" s="148"/>
      <c r="L54" s="148"/>
      <c r="M54" s="148"/>
      <c r="N54" s="109"/>
      <c r="O54" s="109"/>
      <c r="P54" s="109"/>
      <c r="Q54" s="109"/>
      <c r="R54" s="148"/>
      <c r="S54" s="148"/>
      <c r="T54" s="148">
        <f t="shared" si="21"/>
        <v>0</v>
      </c>
      <c r="U54" s="148">
        <v>209646</v>
      </c>
      <c r="V54" s="148">
        <v>153717.20000000001</v>
      </c>
      <c r="W54" s="148">
        <f>V54*2</f>
        <v>307434.40000000002</v>
      </c>
      <c r="X54" s="149">
        <v>307000</v>
      </c>
      <c r="Y54" s="148">
        <v>238360</v>
      </c>
      <c r="Z54" s="148">
        <f t="shared" si="1"/>
        <v>286032</v>
      </c>
      <c r="AA54" s="149">
        <v>390000</v>
      </c>
      <c r="AB54" s="149">
        <f>222737+23221</f>
        <v>245958</v>
      </c>
      <c r="AC54" s="149">
        <v>290000</v>
      </c>
      <c r="AD54" s="109">
        <f t="shared" si="22"/>
        <v>290000</v>
      </c>
      <c r="AE54" s="107">
        <v>250000</v>
      </c>
      <c r="AF54" s="107">
        <v>280000</v>
      </c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36"/>
      <c r="CN54" s="36"/>
      <c r="CO54" s="3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4"/>
      <c r="IT54" s="14"/>
      <c r="IU54" s="14"/>
      <c r="IV54" s="14"/>
    </row>
    <row r="55" spans="2:256" ht="30" customHeight="1" x14ac:dyDescent="0.25">
      <c r="B55" s="14"/>
      <c r="C55" s="157">
        <v>312160.92</v>
      </c>
      <c r="D55" s="103" t="s">
        <v>530</v>
      </c>
      <c r="E55" s="104"/>
      <c r="F55" s="105"/>
      <c r="G55" s="126"/>
      <c r="H55" s="104"/>
      <c r="I55" s="104"/>
      <c r="J55" s="154"/>
      <c r="K55" s="107"/>
      <c r="L55" s="107"/>
      <c r="M55" s="107"/>
      <c r="N55" s="108"/>
      <c r="O55" s="109"/>
      <c r="P55" s="109"/>
      <c r="Q55" s="109"/>
      <c r="R55" s="107"/>
      <c r="S55" s="107"/>
      <c r="T55" s="107">
        <f t="shared" si="21"/>
        <v>0</v>
      </c>
      <c r="U55" s="107">
        <v>26312</v>
      </c>
      <c r="V55" s="107">
        <v>10358.4</v>
      </c>
      <c r="W55" s="107">
        <f>V55*2</f>
        <v>20716.8</v>
      </c>
      <c r="X55" s="110">
        <f>U55</f>
        <v>26312</v>
      </c>
      <c r="Y55" s="107">
        <v>16349</v>
      </c>
      <c r="Z55" s="107">
        <f t="shared" si="1"/>
        <v>19618.8</v>
      </c>
      <c r="AA55" s="110">
        <v>130000</v>
      </c>
      <c r="AB55" s="110">
        <f>76717+32986</f>
        <v>109703</v>
      </c>
      <c r="AC55" s="110">
        <v>144000</v>
      </c>
      <c r="AD55" s="108">
        <f t="shared" si="22"/>
        <v>144000</v>
      </c>
      <c r="AE55" s="107">
        <v>144000</v>
      </c>
      <c r="AF55" s="107">
        <v>144000</v>
      </c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36"/>
      <c r="CN55" s="36"/>
      <c r="CO55" s="3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  <c r="HG55" s="14"/>
      <c r="HH55" s="14"/>
      <c r="HI55" s="14"/>
      <c r="HJ55" s="14"/>
      <c r="HK55" s="14"/>
      <c r="HL55" s="14"/>
      <c r="HM55" s="14"/>
      <c r="HN55" s="14"/>
      <c r="HO55" s="14"/>
      <c r="HP55" s="14"/>
      <c r="HQ55" s="14"/>
      <c r="HR55" s="14"/>
      <c r="HS55" s="14"/>
      <c r="HT55" s="14"/>
      <c r="HU55" s="14"/>
      <c r="HV55" s="14"/>
      <c r="HW55" s="14"/>
      <c r="HX55" s="14"/>
      <c r="HY55" s="14"/>
      <c r="HZ55" s="14"/>
      <c r="IA55" s="14"/>
      <c r="IB55" s="14"/>
      <c r="IC55" s="14"/>
      <c r="ID55" s="14"/>
      <c r="IE55" s="14"/>
      <c r="IF55" s="14"/>
      <c r="IG55" s="14"/>
      <c r="IH55" s="14"/>
      <c r="II55" s="14"/>
      <c r="IJ55" s="14"/>
      <c r="IK55" s="14"/>
      <c r="IL55" s="14"/>
      <c r="IM55" s="14"/>
      <c r="IN55" s="14"/>
      <c r="IO55" s="14"/>
      <c r="IP55" s="14"/>
      <c r="IQ55" s="14"/>
      <c r="IR55" s="14"/>
      <c r="IS55" s="14"/>
      <c r="IT55" s="14"/>
      <c r="IU55" s="14"/>
      <c r="IV55" s="14"/>
    </row>
    <row r="56" spans="2:256" ht="30" customHeight="1" x14ac:dyDescent="0.25">
      <c r="B56" s="14"/>
      <c r="C56" s="157">
        <v>312300.40999999997</v>
      </c>
      <c r="D56" s="103" t="s">
        <v>613</v>
      </c>
      <c r="E56" s="104"/>
      <c r="F56" s="105"/>
      <c r="G56" s="126"/>
      <c r="H56" s="104"/>
      <c r="I56" s="104"/>
      <c r="J56" s="154"/>
      <c r="K56" s="107"/>
      <c r="L56" s="107"/>
      <c r="M56" s="107"/>
      <c r="N56" s="108"/>
      <c r="O56" s="109"/>
      <c r="P56" s="109"/>
      <c r="Q56" s="109"/>
      <c r="R56" s="107"/>
      <c r="S56" s="107"/>
      <c r="T56" s="107"/>
      <c r="U56" s="107"/>
      <c r="V56" s="107"/>
      <c r="W56" s="107"/>
      <c r="X56" s="110"/>
      <c r="Y56" s="107"/>
      <c r="Z56" s="107">
        <f t="shared" si="1"/>
        <v>0</v>
      </c>
      <c r="AA56" s="110">
        <v>320000</v>
      </c>
      <c r="AB56" s="110"/>
      <c r="AC56" s="110">
        <f>14000+250000</f>
        <v>264000</v>
      </c>
      <c r="AD56" s="109">
        <f t="shared" si="22"/>
        <v>264000</v>
      </c>
      <c r="AE56" s="107">
        <v>250000</v>
      </c>
      <c r="AF56" s="107">
        <v>250000</v>
      </c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36"/>
      <c r="CN56" s="36"/>
      <c r="CO56" s="3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  <c r="IQ56" s="14"/>
      <c r="IR56" s="14"/>
      <c r="IS56" s="14"/>
      <c r="IT56" s="14"/>
      <c r="IU56" s="14"/>
      <c r="IV56" s="14"/>
    </row>
    <row r="57" spans="2:256" ht="30" customHeight="1" x14ac:dyDescent="0.25">
      <c r="B57" s="14"/>
      <c r="C57" s="157">
        <v>312300.92</v>
      </c>
      <c r="D57" s="103" t="s">
        <v>634</v>
      </c>
      <c r="E57" s="104"/>
      <c r="F57" s="105"/>
      <c r="G57" s="126"/>
      <c r="H57" s="104"/>
      <c r="I57" s="104"/>
      <c r="J57" s="154"/>
      <c r="K57" s="107"/>
      <c r="L57" s="107"/>
      <c r="M57" s="107"/>
      <c r="N57" s="108"/>
      <c r="O57" s="109"/>
      <c r="P57" s="109"/>
      <c r="Q57" s="109"/>
      <c r="R57" s="107"/>
      <c r="S57" s="107"/>
      <c r="T57" s="107"/>
      <c r="U57" s="107"/>
      <c r="V57" s="107"/>
      <c r="W57" s="107"/>
      <c r="X57" s="110"/>
      <c r="Y57" s="107"/>
      <c r="Z57" s="107"/>
      <c r="AA57" s="110">
        <v>210000</v>
      </c>
      <c r="AB57" s="110">
        <f>193405+11775</f>
        <v>205180</v>
      </c>
      <c r="AC57" s="110">
        <v>210000</v>
      </c>
      <c r="AD57" s="108">
        <f t="shared" si="22"/>
        <v>210000</v>
      </c>
      <c r="AE57" s="107">
        <v>2000</v>
      </c>
      <c r="AF57" s="107">
        <v>2000</v>
      </c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36"/>
      <c r="CN57" s="36"/>
      <c r="CO57" s="3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  <c r="GS57" s="14"/>
      <c r="GT57" s="14"/>
      <c r="GU57" s="14"/>
      <c r="GV57" s="14"/>
      <c r="GW57" s="14"/>
      <c r="GX57" s="14"/>
      <c r="GY57" s="14"/>
      <c r="GZ57" s="14"/>
      <c r="HA57" s="14"/>
      <c r="HB57" s="14"/>
      <c r="HC57" s="14"/>
      <c r="HD57" s="14"/>
      <c r="HE57" s="14"/>
      <c r="HF57" s="14"/>
      <c r="HG57" s="14"/>
      <c r="HH57" s="14"/>
      <c r="HI57" s="14"/>
      <c r="HJ57" s="14"/>
      <c r="HK57" s="14"/>
      <c r="HL57" s="14"/>
      <c r="HM57" s="14"/>
      <c r="HN57" s="14"/>
      <c r="HO57" s="14"/>
      <c r="HP57" s="14"/>
      <c r="HQ57" s="14"/>
      <c r="HR57" s="14"/>
      <c r="HS57" s="14"/>
      <c r="HT57" s="14"/>
      <c r="HU57" s="14"/>
      <c r="HV57" s="14"/>
      <c r="HW57" s="14"/>
      <c r="HX57" s="14"/>
      <c r="HY57" s="14"/>
      <c r="HZ57" s="14"/>
      <c r="IA57" s="14"/>
      <c r="IB57" s="14"/>
      <c r="IC57" s="14"/>
      <c r="ID57" s="14"/>
      <c r="IE57" s="14"/>
      <c r="IF57" s="14"/>
      <c r="IG57" s="14"/>
      <c r="IH57" s="14"/>
      <c r="II57" s="14"/>
      <c r="IJ57" s="14"/>
      <c r="IK57" s="14"/>
      <c r="IL57" s="14"/>
      <c r="IM57" s="14"/>
      <c r="IN57" s="14"/>
      <c r="IO57" s="14"/>
      <c r="IP57" s="14"/>
      <c r="IQ57" s="14"/>
      <c r="IR57" s="14"/>
      <c r="IS57" s="14"/>
      <c r="IT57" s="14"/>
      <c r="IU57" s="14"/>
      <c r="IV57" s="14"/>
    </row>
    <row r="58" spans="2:256" ht="30" customHeight="1" x14ac:dyDescent="0.25">
      <c r="B58" s="14"/>
      <c r="C58" s="113" t="s">
        <v>283</v>
      </c>
      <c r="D58" s="114" t="s">
        <v>525</v>
      </c>
      <c r="E58" s="115" t="e">
        <f>SUM(#REF!)</f>
        <v>#REF!</v>
      </c>
      <c r="F58" s="115" t="e">
        <f>SUM(#REF!)</f>
        <v>#REF!</v>
      </c>
      <c r="G58" s="115" t="e">
        <f>SUM(#REF!)</f>
        <v>#REF!</v>
      </c>
      <c r="H58" s="115" t="e">
        <f>SUM(#REF!)</f>
        <v>#REF!</v>
      </c>
      <c r="I58" s="104">
        <f>4/3</f>
        <v>1.3333333333333333</v>
      </c>
      <c r="J58" s="154"/>
      <c r="K58" s="117" t="e">
        <f>SUM(#REF!)</f>
        <v>#REF!</v>
      </c>
      <c r="L58" s="117" t="e">
        <f>SUM(#REF!)</f>
        <v>#REF!</v>
      </c>
      <c r="M58" s="117" t="e">
        <f>SUM(#REF!)</f>
        <v>#REF!</v>
      </c>
      <c r="N58" s="117" t="e">
        <f>SUM(#REF!)</f>
        <v>#REF!</v>
      </c>
      <c r="O58" s="118" t="e">
        <f>SUM(#REF!)</f>
        <v>#REF!</v>
      </c>
      <c r="P58" s="118" t="e">
        <f>SUM(#REF!)</f>
        <v>#REF!</v>
      </c>
      <c r="Q58" s="118" t="e">
        <f>SUM(#REF!)</f>
        <v>#REF!</v>
      </c>
      <c r="R58" s="117">
        <f t="shared" ref="R58:Z58" si="23">SUM(R50:R55)</f>
        <v>0</v>
      </c>
      <c r="S58" s="117">
        <f t="shared" si="23"/>
        <v>0</v>
      </c>
      <c r="T58" s="117">
        <f t="shared" si="23"/>
        <v>0</v>
      </c>
      <c r="U58" s="117">
        <f t="shared" si="23"/>
        <v>9697373</v>
      </c>
      <c r="V58" s="117">
        <f t="shared" si="23"/>
        <v>5393512.0000000009</v>
      </c>
      <c r="W58" s="117">
        <f t="shared" si="23"/>
        <v>10851999.000000002</v>
      </c>
      <c r="X58" s="117">
        <f t="shared" si="23"/>
        <v>10858287</v>
      </c>
      <c r="Y58" s="117">
        <f t="shared" si="23"/>
        <v>7644642</v>
      </c>
      <c r="Z58" s="117">
        <f t="shared" si="23"/>
        <v>9173570.4000000022</v>
      </c>
      <c r="AA58" s="117">
        <f t="shared" ref="AA58:AF58" si="24">SUM(AA50:AA57)</f>
        <v>10134975</v>
      </c>
      <c r="AB58" s="117">
        <f t="shared" si="24"/>
        <v>7846628</v>
      </c>
      <c r="AC58" s="117">
        <f t="shared" si="24"/>
        <v>9991800</v>
      </c>
      <c r="AD58" s="117">
        <f t="shared" si="24"/>
        <v>9991800</v>
      </c>
      <c r="AE58" s="117">
        <f t="shared" si="24"/>
        <v>9666000</v>
      </c>
      <c r="AF58" s="117">
        <f t="shared" si="24"/>
        <v>12066000</v>
      </c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36"/>
      <c r="CN58" s="36"/>
      <c r="CO58" s="3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  <c r="GS58" s="14"/>
      <c r="GT58" s="14"/>
      <c r="GU58" s="14"/>
      <c r="GV58" s="14"/>
      <c r="GW58" s="14"/>
      <c r="GX58" s="14"/>
      <c r="GY58" s="14"/>
      <c r="GZ58" s="14"/>
      <c r="HA58" s="14"/>
      <c r="HB58" s="14"/>
      <c r="HC58" s="14"/>
      <c r="HD58" s="14"/>
      <c r="HE58" s="14"/>
      <c r="HF58" s="14"/>
      <c r="HG58" s="14"/>
      <c r="HH58" s="14"/>
      <c r="HI58" s="14"/>
      <c r="HJ58" s="14"/>
      <c r="HK58" s="14"/>
      <c r="HL58" s="14"/>
      <c r="HM58" s="14"/>
      <c r="HN58" s="14"/>
      <c r="HO58" s="14"/>
      <c r="HP58" s="14"/>
      <c r="HQ58" s="14"/>
      <c r="HR58" s="14"/>
      <c r="HS58" s="14"/>
      <c r="HT58" s="14"/>
      <c r="HU58" s="14"/>
      <c r="HV58" s="14"/>
      <c r="HW58" s="14"/>
      <c r="HX58" s="14"/>
      <c r="HY58" s="14"/>
      <c r="HZ58" s="14"/>
      <c r="IA58" s="14"/>
      <c r="IB58" s="14"/>
      <c r="IC58" s="14"/>
      <c r="ID58" s="14"/>
      <c r="IE58" s="14"/>
      <c r="IF58" s="14"/>
      <c r="IG58" s="14"/>
      <c r="IH58" s="14"/>
      <c r="II58" s="14"/>
      <c r="IJ58" s="14"/>
      <c r="IK58" s="14"/>
      <c r="IL58" s="14"/>
      <c r="IM58" s="14"/>
      <c r="IN58" s="14"/>
      <c r="IO58" s="14"/>
      <c r="IP58" s="14"/>
      <c r="IQ58" s="14"/>
      <c r="IR58" s="14"/>
      <c r="IS58" s="14"/>
      <c r="IT58" s="14"/>
      <c r="IU58" s="14"/>
      <c r="IV58" s="14"/>
    </row>
    <row r="59" spans="2:256" ht="30" customHeight="1" x14ac:dyDescent="0.25">
      <c r="B59" s="14"/>
      <c r="C59" s="129"/>
      <c r="D59" s="130"/>
      <c r="E59" s="104"/>
      <c r="F59" s="105"/>
      <c r="G59" s="126"/>
      <c r="H59" s="104"/>
      <c r="I59" s="104">
        <f>4/3</f>
        <v>1.3333333333333333</v>
      </c>
      <c r="J59" s="154"/>
      <c r="K59" s="107"/>
      <c r="L59" s="107"/>
      <c r="M59" s="107"/>
      <c r="N59" s="108"/>
      <c r="O59" s="109"/>
      <c r="P59" s="109"/>
      <c r="Q59" s="109"/>
      <c r="R59" s="107"/>
      <c r="S59" s="107"/>
      <c r="T59" s="107"/>
      <c r="U59" s="107"/>
      <c r="V59" s="107"/>
      <c r="W59" s="107"/>
      <c r="X59" s="110"/>
      <c r="Y59" s="107"/>
      <c r="Z59" s="107">
        <f t="shared" si="1"/>
        <v>0</v>
      </c>
      <c r="AA59" s="110"/>
      <c r="AB59" s="110"/>
      <c r="AC59" s="110"/>
      <c r="AD59" s="110"/>
      <c r="AE59" s="159"/>
      <c r="AF59" s="159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36"/>
      <c r="CN59" s="36"/>
      <c r="CO59" s="3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  <c r="GS59" s="14"/>
      <c r="GT59" s="14"/>
      <c r="GU59" s="14"/>
      <c r="GV59" s="14"/>
      <c r="GW59" s="14"/>
      <c r="GX59" s="14"/>
      <c r="GY59" s="14"/>
      <c r="GZ59" s="14"/>
      <c r="HA59" s="14"/>
      <c r="HB59" s="14"/>
      <c r="HC59" s="14"/>
      <c r="HD59" s="14"/>
      <c r="HE59" s="14"/>
      <c r="HF59" s="14"/>
      <c r="HG59" s="14"/>
      <c r="HH59" s="14"/>
      <c r="HI59" s="14"/>
      <c r="HJ59" s="14"/>
      <c r="HK59" s="14"/>
      <c r="HL59" s="14"/>
      <c r="HM59" s="14"/>
      <c r="HN59" s="14"/>
      <c r="HO59" s="14"/>
      <c r="HP59" s="14"/>
      <c r="HQ59" s="14"/>
      <c r="HR59" s="14"/>
      <c r="HS59" s="14"/>
      <c r="HT59" s="14"/>
      <c r="HU59" s="14"/>
      <c r="HV59" s="14"/>
      <c r="HW59" s="14"/>
      <c r="HX59" s="14"/>
      <c r="HY59" s="14"/>
      <c r="HZ59" s="14"/>
      <c r="IA59" s="14"/>
      <c r="IB59" s="14"/>
      <c r="IC59" s="14"/>
      <c r="ID59" s="14"/>
      <c r="IE59" s="14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  <c r="IQ59" s="14"/>
      <c r="IR59" s="14"/>
      <c r="IS59" s="14"/>
      <c r="IT59" s="14"/>
      <c r="IU59" s="14"/>
      <c r="IV59" s="14"/>
    </row>
    <row r="60" spans="2:256" ht="30" customHeight="1" x14ac:dyDescent="0.25">
      <c r="B60" s="14"/>
      <c r="C60" s="157">
        <v>313002.92</v>
      </c>
      <c r="D60" s="103" t="s">
        <v>531</v>
      </c>
      <c r="E60" s="104"/>
      <c r="F60" s="105"/>
      <c r="G60" s="126"/>
      <c r="H60" s="104"/>
      <c r="I60" s="104"/>
      <c r="J60" s="154"/>
      <c r="K60" s="107"/>
      <c r="L60" s="107"/>
      <c r="M60" s="107"/>
      <c r="N60" s="108"/>
      <c r="O60" s="109"/>
      <c r="P60" s="109"/>
      <c r="Q60" s="109"/>
      <c r="R60" s="107"/>
      <c r="S60" s="107"/>
      <c r="T60" s="107">
        <f t="shared" ref="T60:T86" si="25">Q60+P60</f>
        <v>0</v>
      </c>
      <c r="U60" s="107">
        <f>2986200+500000-11257</f>
        <v>3474943</v>
      </c>
      <c r="V60" s="107">
        <v>640370.87</v>
      </c>
      <c r="W60" s="107">
        <f t="shared" ref="W60:W71" si="26">V60*2</f>
        <v>1280741.74</v>
      </c>
      <c r="X60" s="110">
        <v>1280742</v>
      </c>
      <c r="Y60" s="107">
        <v>290367</v>
      </c>
      <c r="Z60" s="107">
        <f t="shared" si="1"/>
        <v>348440.4</v>
      </c>
      <c r="AA60" s="110">
        <v>432000</v>
      </c>
      <c r="AB60" s="110">
        <f>338488+38946</f>
        <v>377434</v>
      </c>
      <c r="AC60" s="110">
        <v>445000</v>
      </c>
      <c r="AD60" s="108">
        <f t="shared" ref="AD60:AD87" si="27">AC60</f>
        <v>445000</v>
      </c>
      <c r="AE60" s="107">
        <v>470000</v>
      </c>
      <c r="AF60" s="107">
        <v>470000</v>
      </c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36"/>
      <c r="CN60" s="36"/>
      <c r="CO60" s="3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  <c r="HD60" s="14"/>
      <c r="HE60" s="14"/>
      <c r="HF60" s="14"/>
      <c r="HG60" s="14"/>
      <c r="HH60" s="14"/>
      <c r="HI60" s="14"/>
      <c r="HJ60" s="14"/>
      <c r="HK60" s="14"/>
      <c r="HL60" s="14"/>
      <c r="HM60" s="14"/>
      <c r="HN60" s="14"/>
      <c r="HO60" s="14"/>
      <c r="HP60" s="14"/>
      <c r="HQ60" s="14"/>
      <c r="HR60" s="14"/>
      <c r="HS60" s="14"/>
      <c r="HT60" s="14"/>
      <c r="HU60" s="14"/>
      <c r="HV60" s="14"/>
      <c r="HW60" s="14"/>
      <c r="HX60" s="14"/>
      <c r="HY60" s="14"/>
      <c r="HZ60" s="14"/>
      <c r="IA60" s="14"/>
      <c r="IB60" s="14"/>
      <c r="IC60" s="14"/>
      <c r="ID60" s="14"/>
      <c r="IE60" s="14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  <c r="IQ60" s="14"/>
      <c r="IR60" s="14"/>
      <c r="IS60" s="14"/>
      <c r="IT60" s="14"/>
      <c r="IU60" s="14"/>
      <c r="IV60" s="14"/>
    </row>
    <row r="61" spans="2:256" ht="30" customHeight="1" x14ac:dyDescent="0.25">
      <c r="B61" s="14"/>
      <c r="C61" s="157">
        <v>313042.92</v>
      </c>
      <c r="D61" s="103" t="s">
        <v>532</v>
      </c>
      <c r="E61" s="104"/>
      <c r="F61" s="105"/>
      <c r="G61" s="126"/>
      <c r="H61" s="104"/>
      <c r="I61" s="104"/>
      <c r="J61" s="154"/>
      <c r="K61" s="107"/>
      <c r="L61" s="107"/>
      <c r="M61" s="107"/>
      <c r="N61" s="108"/>
      <c r="O61" s="109"/>
      <c r="P61" s="109"/>
      <c r="Q61" s="109"/>
      <c r="R61" s="107"/>
      <c r="S61" s="107"/>
      <c r="T61" s="107">
        <f t="shared" si="25"/>
        <v>0</v>
      </c>
      <c r="U61" s="107">
        <v>223733</v>
      </c>
      <c r="V61" s="107">
        <v>162424.20000000001</v>
      </c>
      <c r="W61" s="107">
        <f t="shared" si="26"/>
        <v>324848.40000000002</v>
      </c>
      <c r="X61" s="110">
        <v>324000</v>
      </c>
      <c r="Y61" s="107">
        <v>267009</v>
      </c>
      <c r="Z61" s="107">
        <f t="shared" si="1"/>
        <v>320410.8</v>
      </c>
      <c r="AA61" s="110">
        <v>300000</v>
      </c>
      <c r="AB61" s="110">
        <f>24042+278216</f>
        <v>302258</v>
      </c>
      <c r="AC61" s="110">
        <v>316000</v>
      </c>
      <c r="AD61" s="108">
        <f t="shared" si="27"/>
        <v>316000</v>
      </c>
      <c r="AE61" s="107">
        <v>334000</v>
      </c>
      <c r="AF61" s="107">
        <v>334000</v>
      </c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36"/>
      <c r="CN61" s="36"/>
      <c r="CO61" s="3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  <c r="GS61" s="14"/>
      <c r="GT61" s="14"/>
      <c r="GU61" s="14"/>
      <c r="GV61" s="14"/>
      <c r="GW61" s="14"/>
      <c r="GX61" s="14"/>
      <c r="GY61" s="14"/>
      <c r="GZ61" s="14"/>
      <c r="HA61" s="14"/>
      <c r="HB61" s="14"/>
      <c r="HC61" s="14"/>
      <c r="HD61" s="14"/>
      <c r="HE61" s="14"/>
      <c r="HF61" s="14"/>
      <c r="HG61" s="14"/>
      <c r="HH61" s="14"/>
      <c r="HI61" s="14"/>
      <c r="HJ61" s="14"/>
      <c r="HK61" s="14"/>
      <c r="HL61" s="14"/>
      <c r="HM61" s="14"/>
      <c r="HN61" s="14"/>
      <c r="HO61" s="14"/>
      <c r="HP61" s="14"/>
      <c r="HQ61" s="14"/>
      <c r="HR61" s="14"/>
      <c r="HS61" s="14"/>
      <c r="HT61" s="14"/>
      <c r="HU61" s="14"/>
      <c r="HV61" s="14"/>
      <c r="HW61" s="14"/>
      <c r="HX61" s="1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  <c r="IM61" s="14"/>
      <c r="IN61" s="14"/>
      <c r="IO61" s="14"/>
      <c r="IP61" s="14"/>
      <c r="IQ61" s="14"/>
      <c r="IR61" s="14"/>
      <c r="IS61" s="14"/>
      <c r="IT61" s="14"/>
      <c r="IU61" s="14"/>
      <c r="IV61" s="14"/>
    </row>
    <row r="62" spans="2:256" ht="30" customHeight="1" x14ac:dyDescent="0.25">
      <c r="B62" s="14"/>
      <c r="C62" s="157">
        <v>313043.92</v>
      </c>
      <c r="D62" s="103" t="s">
        <v>533</v>
      </c>
      <c r="E62" s="104"/>
      <c r="F62" s="105"/>
      <c r="G62" s="126"/>
      <c r="H62" s="104"/>
      <c r="I62" s="104"/>
      <c r="J62" s="154"/>
      <c r="K62" s="107"/>
      <c r="L62" s="107"/>
      <c r="M62" s="107"/>
      <c r="N62" s="108"/>
      <c r="O62" s="109"/>
      <c r="P62" s="109"/>
      <c r="Q62" s="109"/>
      <c r="R62" s="107"/>
      <c r="S62" s="107"/>
      <c r="T62" s="107">
        <f t="shared" si="25"/>
        <v>0</v>
      </c>
      <c r="U62" s="107">
        <v>995520</v>
      </c>
      <c r="V62" s="107">
        <v>0</v>
      </c>
      <c r="W62" s="107">
        <f t="shared" si="26"/>
        <v>0</v>
      </c>
      <c r="X62" s="110">
        <v>150000</v>
      </c>
      <c r="Y62" s="107">
        <v>101583</v>
      </c>
      <c r="Z62" s="107">
        <f t="shared" si="1"/>
        <v>121899.6</v>
      </c>
      <c r="AA62" s="110">
        <v>100000</v>
      </c>
      <c r="AB62" s="110">
        <f>83573+9671</f>
        <v>93244</v>
      </c>
      <c r="AC62" s="110">
        <v>110000</v>
      </c>
      <c r="AD62" s="108">
        <f t="shared" si="27"/>
        <v>110000</v>
      </c>
      <c r="AE62" s="107">
        <v>116000</v>
      </c>
      <c r="AF62" s="107">
        <v>116000</v>
      </c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36"/>
      <c r="CN62" s="36"/>
      <c r="CO62" s="3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  <c r="GS62" s="14"/>
      <c r="GT62" s="14"/>
      <c r="GU62" s="14"/>
      <c r="GV62" s="14"/>
      <c r="GW62" s="14"/>
      <c r="GX62" s="14"/>
      <c r="GY62" s="14"/>
      <c r="GZ62" s="14"/>
      <c r="HA62" s="14"/>
      <c r="HB62" s="14"/>
      <c r="HC62" s="14"/>
      <c r="HD62" s="14"/>
      <c r="HE62" s="14"/>
      <c r="HF62" s="14"/>
      <c r="HG62" s="14"/>
      <c r="HH62" s="14"/>
      <c r="HI62" s="14"/>
      <c r="HJ62" s="14"/>
      <c r="HK62" s="14"/>
      <c r="HL62" s="14"/>
      <c r="HM62" s="14"/>
      <c r="HN62" s="14"/>
      <c r="HO62" s="14"/>
      <c r="HP62" s="14"/>
      <c r="HQ62" s="14"/>
      <c r="HR62" s="14"/>
      <c r="HS62" s="14"/>
      <c r="HT62" s="14"/>
      <c r="HU62" s="14"/>
      <c r="HV62" s="14"/>
      <c r="HW62" s="14"/>
      <c r="HX62" s="1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  <c r="IM62" s="14"/>
      <c r="IN62" s="14"/>
      <c r="IO62" s="14"/>
      <c r="IP62" s="14"/>
      <c r="IQ62" s="14"/>
      <c r="IR62" s="14"/>
      <c r="IS62" s="14"/>
      <c r="IT62" s="14"/>
      <c r="IU62" s="14"/>
      <c r="IV62" s="14"/>
    </row>
    <row r="63" spans="2:256" ht="30" customHeight="1" x14ac:dyDescent="0.25">
      <c r="B63" s="14"/>
      <c r="C63" s="157">
        <v>313044.92</v>
      </c>
      <c r="D63" s="103" t="s">
        <v>534</v>
      </c>
      <c r="E63" s="104"/>
      <c r="F63" s="105"/>
      <c r="G63" s="126"/>
      <c r="H63" s="104"/>
      <c r="I63" s="104"/>
      <c r="J63" s="154"/>
      <c r="K63" s="107"/>
      <c r="L63" s="107"/>
      <c r="M63" s="107"/>
      <c r="N63" s="108"/>
      <c r="O63" s="109"/>
      <c r="P63" s="109"/>
      <c r="Q63" s="109"/>
      <c r="R63" s="107"/>
      <c r="S63" s="107"/>
      <c r="T63" s="107">
        <f t="shared" si="25"/>
        <v>0</v>
      </c>
      <c r="U63" s="107">
        <v>395136</v>
      </c>
      <c r="V63" s="107">
        <v>448</v>
      </c>
      <c r="W63" s="107">
        <f t="shared" si="26"/>
        <v>896</v>
      </c>
      <c r="X63" s="110">
        <v>10000</v>
      </c>
      <c r="Y63" s="107">
        <v>31584</v>
      </c>
      <c r="Z63" s="107">
        <f t="shared" si="1"/>
        <v>37900.800000000003</v>
      </c>
      <c r="AA63" s="110">
        <v>90000</v>
      </c>
      <c r="AB63" s="110">
        <v>32480</v>
      </c>
      <c r="AC63" s="110">
        <v>33000</v>
      </c>
      <c r="AD63" s="108">
        <f t="shared" si="27"/>
        <v>33000</v>
      </c>
      <c r="AE63" s="107">
        <v>32000</v>
      </c>
      <c r="AF63" s="107">
        <v>32000</v>
      </c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36"/>
      <c r="CN63" s="36"/>
      <c r="CO63" s="3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  <c r="GS63" s="14"/>
      <c r="GT63" s="14"/>
      <c r="GU63" s="14"/>
      <c r="GV63" s="14"/>
      <c r="GW63" s="14"/>
      <c r="GX63" s="14"/>
      <c r="GY63" s="14"/>
      <c r="GZ63" s="14"/>
      <c r="HA63" s="14"/>
      <c r="HB63" s="14"/>
      <c r="HC63" s="14"/>
      <c r="HD63" s="14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  <c r="IM63" s="14"/>
      <c r="IN63" s="14"/>
      <c r="IO63" s="14"/>
      <c r="IP63" s="14"/>
      <c r="IQ63" s="14"/>
      <c r="IR63" s="14"/>
      <c r="IS63" s="14"/>
      <c r="IT63" s="14"/>
      <c r="IU63" s="14"/>
      <c r="IV63" s="14"/>
    </row>
    <row r="64" spans="2:256" ht="30" customHeight="1" x14ac:dyDescent="0.25">
      <c r="B64" s="14"/>
      <c r="C64" s="157">
        <v>313170.92</v>
      </c>
      <c r="D64" s="103" t="s">
        <v>535</v>
      </c>
      <c r="E64" s="104"/>
      <c r="F64" s="105"/>
      <c r="G64" s="126"/>
      <c r="H64" s="104"/>
      <c r="I64" s="104"/>
      <c r="J64" s="154"/>
      <c r="K64" s="107"/>
      <c r="L64" s="107"/>
      <c r="M64" s="107"/>
      <c r="N64" s="108"/>
      <c r="O64" s="109"/>
      <c r="P64" s="109"/>
      <c r="Q64" s="109"/>
      <c r="R64" s="107"/>
      <c r="S64" s="107"/>
      <c r="T64" s="107">
        <f t="shared" si="25"/>
        <v>0</v>
      </c>
      <c r="U64" s="107">
        <v>73911</v>
      </c>
      <c r="V64" s="107">
        <v>46369.96</v>
      </c>
      <c r="W64" s="107">
        <f t="shared" si="26"/>
        <v>92739.92</v>
      </c>
      <c r="X64" s="110">
        <v>92740</v>
      </c>
      <c r="Y64" s="107">
        <v>64633</v>
      </c>
      <c r="Z64" s="107">
        <f t="shared" si="1"/>
        <v>77559.600000000006</v>
      </c>
      <c r="AA64" s="110">
        <v>60000</v>
      </c>
      <c r="AB64" s="110">
        <v>82689</v>
      </c>
      <c r="AC64" s="110">
        <v>115000</v>
      </c>
      <c r="AD64" s="108">
        <f t="shared" si="27"/>
        <v>115000</v>
      </c>
      <c r="AE64" s="107">
        <v>130000</v>
      </c>
      <c r="AF64" s="107">
        <v>130000</v>
      </c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36"/>
      <c r="CN64" s="36"/>
      <c r="CO64" s="3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  <c r="GS64" s="14"/>
      <c r="GT64" s="14"/>
      <c r="GU64" s="14"/>
      <c r="GV64" s="14"/>
      <c r="GW64" s="14"/>
      <c r="GX64" s="14"/>
      <c r="GY64" s="14"/>
      <c r="GZ64" s="14"/>
      <c r="HA64" s="14"/>
      <c r="HB64" s="14"/>
      <c r="HC64" s="14"/>
      <c r="HD64" s="14"/>
      <c r="HE64" s="14"/>
      <c r="HF64" s="14"/>
      <c r="HG64" s="14"/>
      <c r="HH64" s="14"/>
      <c r="HI64" s="14"/>
      <c r="HJ64" s="14"/>
      <c r="HK64" s="14"/>
      <c r="HL64" s="14"/>
      <c r="HM64" s="14"/>
      <c r="HN64" s="14"/>
      <c r="HO64" s="14"/>
      <c r="HP64" s="14"/>
      <c r="HQ64" s="14"/>
      <c r="HR64" s="14"/>
      <c r="HS64" s="14"/>
      <c r="HT64" s="14"/>
      <c r="HU64" s="14"/>
      <c r="HV64" s="14"/>
      <c r="HW64" s="14"/>
      <c r="HX64" s="14"/>
      <c r="HY64" s="14"/>
      <c r="HZ64" s="14"/>
      <c r="IA64" s="14"/>
      <c r="IB64" s="14"/>
      <c r="IC64" s="14"/>
      <c r="ID64" s="14"/>
      <c r="IE64" s="14"/>
      <c r="IF64" s="14"/>
      <c r="IG64" s="14"/>
      <c r="IH64" s="14"/>
      <c r="II64" s="14"/>
      <c r="IJ64" s="14"/>
      <c r="IK64" s="14"/>
      <c r="IL64" s="14"/>
      <c r="IM64" s="14"/>
      <c r="IN64" s="14"/>
      <c r="IO64" s="14"/>
      <c r="IP64" s="14"/>
      <c r="IQ64" s="14"/>
      <c r="IR64" s="14"/>
      <c r="IS64" s="14"/>
      <c r="IT64" s="14"/>
      <c r="IU64" s="14"/>
      <c r="IV64" s="14"/>
    </row>
    <row r="65" spans="2:256" ht="30" customHeight="1" x14ac:dyDescent="0.25">
      <c r="B65" s="14"/>
      <c r="C65" s="157">
        <v>313171.92</v>
      </c>
      <c r="D65" s="103" t="s">
        <v>536</v>
      </c>
      <c r="E65" s="104"/>
      <c r="F65" s="105"/>
      <c r="G65" s="126"/>
      <c r="H65" s="104"/>
      <c r="I65" s="104"/>
      <c r="J65" s="154"/>
      <c r="K65" s="107"/>
      <c r="L65" s="107"/>
      <c r="M65" s="107"/>
      <c r="N65" s="108"/>
      <c r="O65" s="109"/>
      <c r="P65" s="109"/>
      <c r="Q65" s="109"/>
      <c r="R65" s="107"/>
      <c r="S65" s="107"/>
      <c r="T65" s="107">
        <f t="shared" si="25"/>
        <v>0</v>
      </c>
      <c r="U65" s="107">
        <v>697370</v>
      </c>
      <c r="V65" s="107">
        <v>514078.12</v>
      </c>
      <c r="W65" s="107">
        <f t="shared" si="26"/>
        <v>1028156.24</v>
      </c>
      <c r="X65" s="110">
        <v>1028000</v>
      </c>
      <c r="Y65" s="107">
        <v>890438</v>
      </c>
      <c r="Z65" s="107">
        <f t="shared" si="1"/>
        <v>1068525.6000000001</v>
      </c>
      <c r="AA65" s="110">
        <v>1200000</v>
      </c>
      <c r="AB65" s="110">
        <f>676124+10600</f>
        <v>686724</v>
      </c>
      <c r="AC65" s="110">
        <v>676000</v>
      </c>
      <c r="AD65" s="108">
        <f t="shared" si="27"/>
        <v>676000</v>
      </c>
      <c r="AE65" s="107">
        <v>1260000</v>
      </c>
      <c r="AF65" s="107">
        <v>1373000</v>
      </c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36"/>
      <c r="CN65" s="36"/>
      <c r="CO65" s="3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  <c r="GS65" s="14"/>
      <c r="GT65" s="14"/>
      <c r="GU65" s="14"/>
      <c r="GV65" s="14"/>
      <c r="GW65" s="14"/>
      <c r="GX65" s="14"/>
      <c r="GY65" s="14"/>
      <c r="GZ65" s="14"/>
      <c r="HA65" s="14"/>
      <c r="HB65" s="14"/>
      <c r="HC65" s="14"/>
      <c r="HD65" s="14"/>
      <c r="HE65" s="14"/>
      <c r="HF65" s="14"/>
      <c r="HG65" s="14"/>
      <c r="HH65" s="14"/>
      <c r="HI65" s="14"/>
      <c r="HJ65" s="14"/>
      <c r="HK65" s="14"/>
      <c r="HL65" s="14"/>
      <c r="HM65" s="14"/>
      <c r="HN65" s="14"/>
      <c r="HO65" s="14"/>
      <c r="HP65" s="14"/>
      <c r="HQ65" s="14"/>
      <c r="HR65" s="14"/>
      <c r="HS65" s="14"/>
      <c r="HT65" s="14"/>
      <c r="HU65" s="14"/>
      <c r="HV65" s="14"/>
      <c r="HW65" s="14"/>
      <c r="HX65" s="14"/>
      <c r="HY65" s="14"/>
      <c r="HZ65" s="14"/>
      <c r="IA65" s="14"/>
      <c r="IB65" s="14"/>
      <c r="IC65" s="14"/>
      <c r="ID65" s="14"/>
      <c r="IE65" s="14"/>
      <c r="IF65" s="14"/>
      <c r="IG65" s="14"/>
      <c r="IH65" s="14"/>
      <c r="II65" s="14"/>
      <c r="IJ65" s="14"/>
      <c r="IK65" s="14"/>
      <c r="IL65" s="14"/>
      <c r="IM65" s="14"/>
      <c r="IN65" s="14"/>
      <c r="IO65" s="14"/>
      <c r="IP65" s="14"/>
      <c r="IQ65" s="14"/>
      <c r="IR65" s="14"/>
      <c r="IS65" s="14"/>
      <c r="IT65" s="14"/>
      <c r="IU65" s="14"/>
      <c r="IV65" s="14"/>
    </row>
    <row r="66" spans="2:256" ht="30" customHeight="1" x14ac:dyDescent="0.25">
      <c r="B66" s="14"/>
      <c r="C66" s="157">
        <v>313185.91999999998</v>
      </c>
      <c r="D66" s="144" t="s">
        <v>537</v>
      </c>
      <c r="E66" s="146"/>
      <c r="F66" s="105"/>
      <c r="G66" s="105"/>
      <c r="H66" s="146"/>
      <c r="I66" s="146"/>
      <c r="J66" s="158"/>
      <c r="K66" s="148"/>
      <c r="L66" s="148"/>
      <c r="M66" s="148"/>
      <c r="N66" s="109"/>
      <c r="O66" s="109"/>
      <c r="P66" s="109"/>
      <c r="Q66" s="109"/>
      <c r="R66" s="148"/>
      <c r="S66" s="148"/>
      <c r="T66" s="148">
        <f t="shared" si="25"/>
        <v>0</v>
      </c>
      <c r="U66" s="148">
        <v>450547</v>
      </c>
      <c r="V66" s="148">
        <v>301612.79999999999</v>
      </c>
      <c r="W66" s="148">
        <f t="shared" si="26"/>
        <v>603225.59999999998</v>
      </c>
      <c r="X66" s="149">
        <v>603000</v>
      </c>
      <c r="Y66" s="148">
        <v>450028</v>
      </c>
      <c r="Z66" s="148">
        <f t="shared" si="1"/>
        <v>540033.6</v>
      </c>
      <c r="AA66" s="149">
        <v>450000</v>
      </c>
      <c r="AB66" s="110"/>
      <c r="AC66" s="110">
        <v>450000</v>
      </c>
      <c r="AD66" s="108">
        <f t="shared" si="27"/>
        <v>450000</v>
      </c>
      <c r="AE66" s="107">
        <v>450000</v>
      </c>
      <c r="AF66" s="107">
        <v>450000</v>
      </c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36"/>
      <c r="CN66" s="36"/>
      <c r="CO66" s="3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  <c r="GS66" s="14"/>
      <c r="GT66" s="14"/>
      <c r="GU66" s="14"/>
      <c r="GV66" s="14"/>
      <c r="GW66" s="14"/>
      <c r="GX66" s="14"/>
      <c r="GY66" s="14"/>
      <c r="GZ66" s="14"/>
      <c r="HA66" s="14"/>
      <c r="HB66" s="14"/>
      <c r="HC66" s="14"/>
      <c r="HD66" s="14"/>
      <c r="HE66" s="14"/>
      <c r="HF66" s="14"/>
      <c r="HG66" s="14"/>
      <c r="HH66" s="14"/>
      <c r="HI66" s="14"/>
      <c r="HJ66" s="14"/>
      <c r="HK66" s="14"/>
      <c r="HL66" s="14"/>
      <c r="HM66" s="14"/>
      <c r="HN66" s="14"/>
      <c r="HO66" s="14"/>
      <c r="HP66" s="14"/>
      <c r="HQ66" s="14"/>
      <c r="HR66" s="14"/>
      <c r="HS66" s="14"/>
      <c r="HT66" s="14"/>
      <c r="HU66" s="14"/>
      <c r="HV66" s="14"/>
      <c r="HW66" s="14"/>
      <c r="HX66" s="14"/>
      <c r="HY66" s="14"/>
      <c r="HZ66" s="14"/>
      <c r="IA66" s="14"/>
      <c r="IB66" s="14"/>
      <c r="IC66" s="14"/>
      <c r="ID66" s="14"/>
      <c r="IE66" s="14"/>
      <c r="IF66" s="14"/>
      <c r="IG66" s="14"/>
      <c r="IH66" s="14"/>
      <c r="II66" s="14"/>
      <c r="IJ66" s="14"/>
      <c r="IK66" s="14"/>
      <c r="IL66" s="14"/>
      <c r="IM66" s="14"/>
      <c r="IN66" s="14"/>
      <c r="IO66" s="14"/>
      <c r="IP66" s="14"/>
      <c r="IQ66" s="14"/>
      <c r="IR66" s="14"/>
      <c r="IS66" s="14"/>
      <c r="IT66" s="14"/>
      <c r="IU66" s="14"/>
      <c r="IV66" s="14"/>
    </row>
    <row r="67" spans="2:256" ht="30" customHeight="1" x14ac:dyDescent="0.25">
      <c r="B67" s="14">
        <v>50000</v>
      </c>
      <c r="C67" s="143">
        <v>313200.42</v>
      </c>
      <c r="D67" s="153" t="s">
        <v>297</v>
      </c>
      <c r="E67" s="104">
        <v>220000</v>
      </c>
      <c r="F67" s="105"/>
      <c r="G67" s="126">
        <v>155196</v>
      </c>
      <c r="H67" s="104">
        <v>200000</v>
      </c>
      <c r="I67" s="104">
        <f>4/3</f>
        <v>1.3333333333333333</v>
      </c>
      <c r="J67" s="154"/>
      <c r="K67" s="107">
        <v>100000</v>
      </c>
      <c r="L67" s="107">
        <v>62614</v>
      </c>
      <c r="M67" s="107">
        <v>35465</v>
      </c>
      <c r="N67" s="108"/>
      <c r="O67" s="109">
        <v>100000</v>
      </c>
      <c r="P67" s="109">
        <v>50000</v>
      </c>
      <c r="Q67" s="109">
        <v>50000</v>
      </c>
      <c r="R67" s="107">
        <v>100000</v>
      </c>
      <c r="S67" s="107">
        <f>Q67+P67</f>
        <v>100000</v>
      </c>
      <c r="T67" s="107">
        <f t="shared" si="25"/>
        <v>100000</v>
      </c>
      <c r="U67" s="107">
        <f>S67</f>
        <v>100000</v>
      </c>
      <c r="V67" s="107">
        <v>65804</v>
      </c>
      <c r="W67" s="107">
        <f t="shared" si="26"/>
        <v>131608</v>
      </c>
      <c r="X67" s="110">
        <v>131000</v>
      </c>
      <c r="Y67" s="107">
        <v>74216</v>
      </c>
      <c r="Z67" s="107">
        <f t="shared" si="1"/>
        <v>89059.199999999997</v>
      </c>
      <c r="AA67" s="110">
        <v>175000</v>
      </c>
      <c r="AB67" s="110">
        <v>37523</v>
      </c>
      <c r="AC67" s="110">
        <v>45000</v>
      </c>
      <c r="AD67" s="108">
        <f t="shared" si="27"/>
        <v>45000</v>
      </c>
      <c r="AE67" s="107">
        <v>350000</v>
      </c>
      <c r="AF67" s="107">
        <v>350000</v>
      </c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36"/>
      <c r="CN67" s="36"/>
      <c r="CO67" s="3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  <c r="GS67" s="14"/>
      <c r="GT67" s="14"/>
      <c r="GU67" s="14"/>
      <c r="GV67" s="14"/>
      <c r="GW67" s="14"/>
      <c r="GX67" s="14"/>
      <c r="GY67" s="14"/>
      <c r="GZ67" s="14"/>
      <c r="HA67" s="14"/>
      <c r="HB67" s="14"/>
      <c r="HC67" s="14"/>
      <c r="HD67" s="14"/>
      <c r="HE67" s="14"/>
      <c r="HF67" s="14"/>
      <c r="HG67" s="14"/>
      <c r="HH67" s="14"/>
      <c r="HI67" s="14"/>
      <c r="HJ67" s="14"/>
      <c r="HK67" s="14"/>
      <c r="HL67" s="14"/>
      <c r="HM67" s="14"/>
      <c r="HN67" s="14"/>
      <c r="HO67" s="14"/>
      <c r="HP67" s="14"/>
      <c r="HQ67" s="14"/>
      <c r="HR67" s="14"/>
      <c r="HS67" s="14"/>
      <c r="HT67" s="14"/>
      <c r="HU67" s="14"/>
      <c r="HV67" s="14"/>
      <c r="HW67" s="14"/>
      <c r="HX67" s="14"/>
      <c r="HY67" s="14"/>
      <c r="HZ67" s="14"/>
      <c r="IA67" s="14"/>
      <c r="IB67" s="14"/>
      <c r="IC67" s="14"/>
      <c r="ID67" s="14"/>
      <c r="IE67" s="14"/>
      <c r="IF67" s="14"/>
      <c r="IG67" s="14"/>
      <c r="IH67" s="14"/>
      <c r="II67" s="14"/>
      <c r="IJ67" s="14"/>
      <c r="IK67" s="14"/>
      <c r="IL67" s="14"/>
      <c r="IM67" s="14"/>
      <c r="IN67" s="14"/>
      <c r="IO67" s="14"/>
      <c r="IP67" s="14"/>
      <c r="IQ67" s="14"/>
      <c r="IR67" s="14"/>
      <c r="IS67" s="14"/>
      <c r="IT67" s="14"/>
      <c r="IU67" s="14"/>
      <c r="IV67" s="14"/>
    </row>
    <row r="68" spans="2:256" ht="30" customHeight="1" x14ac:dyDescent="0.25">
      <c r="B68" s="14"/>
      <c r="C68" s="143">
        <v>313200.92099999997</v>
      </c>
      <c r="D68" s="153" t="s">
        <v>497</v>
      </c>
      <c r="E68" s="104"/>
      <c r="F68" s="105"/>
      <c r="G68" s="126"/>
      <c r="H68" s="104"/>
      <c r="I68" s="104"/>
      <c r="J68" s="154"/>
      <c r="K68" s="107"/>
      <c r="L68" s="107"/>
      <c r="M68" s="107"/>
      <c r="N68" s="108"/>
      <c r="O68" s="109"/>
      <c r="P68" s="109"/>
      <c r="Q68" s="109"/>
      <c r="R68" s="107">
        <v>0</v>
      </c>
      <c r="S68" s="107">
        <v>0</v>
      </c>
      <c r="T68" s="107">
        <f t="shared" si="25"/>
        <v>0</v>
      </c>
      <c r="U68" s="107">
        <v>139657</v>
      </c>
      <c r="V68" s="107">
        <v>233209.57</v>
      </c>
      <c r="W68" s="107">
        <f t="shared" si="26"/>
        <v>466419.14</v>
      </c>
      <c r="X68" s="110">
        <f>W68</f>
        <v>466419.14</v>
      </c>
      <c r="Y68" s="107">
        <v>247748</v>
      </c>
      <c r="Z68" s="107">
        <f t="shared" ref="Z68:Z125" si="28">Y68*12/10</f>
        <v>297297.59999999998</v>
      </c>
      <c r="AA68" s="110">
        <v>382957</v>
      </c>
      <c r="AB68" s="110">
        <f>380018+6000+5660+33000</f>
        <v>424678</v>
      </c>
      <c r="AC68" s="110">
        <v>510000</v>
      </c>
      <c r="AD68" s="108">
        <f t="shared" si="27"/>
        <v>510000</v>
      </c>
      <c r="AE68" s="107">
        <v>565000</v>
      </c>
      <c r="AF68" s="107">
        <v>565000</v>
      </c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36"/>
      <c r="CN68" s="36"/>
      <c r="CO68" s="3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  <c r="GS68" s="14"/>
      <c r="GT68" s="14"/>
      <c r="GU68" s="14"/>
      <c r="GV68" s="14"/>
      <c r="GW68" s="14"/>
      <c r="GX68" s="14"/>
      <c r="GY68" s="14"/>
      <c r="GZ68" s="14"/>
      <c r="HA68" s="14"/>
      <c r="HB68" s="14"/>
      <c r="HC68" s="14"/>
      <c r="HD68" s="14"/>
      <c r="HE68" s="14"/>
      <c r="HF68" s="14"/>
      <c r="HG68" s="14"/>
      <c r="HH68" s="14"/>
      <c r="HI68" s="14"/>
      <c r="HJ68" s="14"/>
      <c r="HK68" s="14"/>
      <c r="HL68" s="14"/>
      <c r="HM68" s="14"/>
      <c r="HN68" s="14"/>
      <c r="HO68" s="14"/>
      <c r="HP68" s="14"/>
      <c r="HQ68" s="14"/>
      <c r="HR68" s="14"/>
      <c r="HS68" s="14"/>
      <c r="HT68" s="14"/>
      <c r="HU68" s="14"/>
      <c r="HV68" s="14"/>
      <c r="HW68" s="14"/>
      <c r="HX68" s="14"/>
      <c r="HY68" s="14"/>
      <c r="HZ68" s="14"/>
      <c r="IA68" s="14"/>
      <c r="IB68" s="14"/>
      <c r="IC68" s="14"/>
      <c r="ID68" s="14"/>
      <c r="IE68" s="14"/>
      <c r="IF68" s="14"/>
      <c r="IG68" s="14"/>
      <c r="IH68" s="14"/>
      <c r="II68" s="14"/>
      <c r="IJ68" s="14"/>
      <c r="IK68" s="14"/>
      <c r="IL68" s="14"/>
      <c r="IM68" s="14"/>
      <c r="IN68" s="14"/>
      <c r="IO68" s="14"/>
      <c r="IP68" s="14"/>
      <c r="IQ68" s="14"/>
      <c r="IR68" s="14"/>
      <c r="IS68" s="14"/>
      <c r="IT68" s="14"/>
      <c r="IU68" s="14"/>
      <c r="IV68" s="14"/>
    </row>
    <row r="69" spans="2:256" ht="30" customHeight="1" x14ac:dyDescent="0.25">
      <c r="B69" s="14"/>
      <c r="C69" s="143">
        <v>313200.92200000002</v>
      </c>
      <c r="D69" s="153" t="s">
        <v>498</v>
      </c>
      <c r="E69" s="104"/>
      <c r="F69" s="105"/>
      <c r="G69" s="126"/>
      <c r="H69" s="104"/>
      <c r="I69" s="104"/>
      <c r="J69" s="154"/>
      <c r="K69" s="107"/>
      <c r="L69" s="107"/>
      <c r="M69" s="107"/>
      <c r="N69" s="108"/>
      <c r="O69" s="109"/>
      <c r="P69" s="109"/>
      <c r="Q69" s="109"/>
      <c r="R69" s="107">
        <v>0</v>
      </c>
      <c r="S69" s="107">
        <v>0</v>
      </c>
      <c r="T69" s="107">
        <f t="shared" si="25"/>
        <v>0</v>
      </c>
      <c r="U69" s="107">
        <v>165228</v>
      </c>
      <c r="V69" s="107">
        <v>233209.57</v>
      </c>
      <c r="W69" s="107">
        <f t="shared" si="26"/>
        <v>466419.14</v>
      </c>
      <c r="X69" s="110">
        <f t="shared" ref="X69:X76" si="29">W69</f>
        <v>466419.14</v>
      </c>
      <c r="Y69" s="107">
        <v>247748</v>
      </c>
      <c r="Z69" s="107">
        <f t="shared" si="28"/>
        <v>297297.59999999998</v>
      </c>
      <c r="AA69" s="110">
        <v>502606</v>
      </c>
      <c r="AB69" s="110">
        <f>438171+6000+5660+40000</f>
        <v>489831</v>
      </c>
      <c r="AC69" s="110">
        <v>588000</v>
      </c>
      <c r="AD69" s="108">
        <f t="shared" si="27"/>
        <v>588000</v>
      </c>
      <c r="AE69" s="107">
        <v>640000</v>
      </c>
      <c r="AF69" s="107">
        <v>640000</v>
      </c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36"/>
      <c r="CN69" s="36"/>
      <c r="CO69" s="3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  <c r="GS69" s="14"/>
      <c r="GT69" s="14"/>
      <c r="GU69" s="14"/>
      <c r="GV69" s="14"/>
      <c r="GW69" s="14"/>
      <c r="GX69" s="14"/>
      <c r="GY69" s="14"/>
      <c r="GZ69" s="14"/>
      <c r="HA69" s="14"/>
      <c r="HB69" s="14"/>
      <c r="HC69" s="14"/>
      <c r="HD69" s="14"/>
      <c r="HE69" s="14"/>
      <c r="HF69" s="14"/>
      <c r="HG69" s="14"/>
      <c r="HH69" s="14"/>
      <c r="HI69" s="14"/>
      <c r="HJ69" s="14"/>
      <c r="HK69" s="14"/>
      <c r="HL69" s="14"/>
      <c r="HM69" s="14"/>
      <c r="HN69" s="14"/>
      <c r="HO69" s="14"/>
      <c r="HP69" s="14"/>
      <c r="HQ69" s="14"/>
      <c r="HR69" s="14"/>
      <c r="HS69" s="14"/>
      <c r="HT69" s="14"/>
      <c r="HU69" s="14"/>
      <c r="HV69" s="14"/>
      <c r="HW69" s="14"/>
      <c r="HX69" s="14"/>
      <c r="HY69" s="14"/>
      <c r="HZ69" s="14"/>
      <c r="IA69" s="14"/>
      <c r="IB69" s="14"/>
      <c r="IC69" s="14"/>
      <c r="ID69" s="14"/>
      <c r="IE69" s="14"/>
      <c r="IF69" s="14"/>
      <c r="IG69" s="14"/>
      <c r="IH69" s="14"/>
      <c r="II69" s="14"/>
      <c r="IJ69" s="14"/>
      <c r="IK69" s="14"/>
      <c r="IL69" s="14"/>
      <c r="IM69" s="14"/>
      <c r="IN69" s="14"/>
      <c r="IO69" s="14"/>
      <c r="IP69" s="14"/>
      <c r="IQ69" s="14"/>
      <c r="IR69" s="14"/>
      <c r="IS69" s="14"/>
      <c r="IT69" s="14"/>
      <c r="IU69" s="14"/>
      <c r="IV69" s="14"/>
    </row>
    <row r="70" spans="2:256" ht="30" customHeight="1" x14ac:dyDescent="0.25">
      <c r="B70" s="14"/>
      <c r="C70" s="143">
        <v>313200.92300000001</v>
      </c>
      <c r="D70" s="153" t="s">
        <v>499</v>
      </c>
      <c r="E70" s="104"/>
      <c r="F70" s="105"/>
      <c r="G70" s="126"/>
      <c r="H70" s="104"/>
      <c r="I70" s="104"/>
      <c r="J70" s="154"/>
      <c r="K70" s="107"/>
      <c r="L70" s="107"/>
      <c r="M70" s="107"/>
      <c r="N70" s="108"/>
      <c r="O70" s="109"/>
      <c r="P70" s="109"/>
      <c r="Q70" s="109"/>
      <c r="R70" s="107">
        <v>0</v>
      </c>
      <c r="S70" s="107">
        <v>0</v>
      </c>
      <c r="T70" s="107">
        <f t="shared" si="25"/>
        <v>0</v>
      </c>
      <c r="U70" s="107">
        <v>155112</v>
      </c>
      <c r="V70" s="107">
        <v>233209.57</v>
      </c>
      <c r="W70" s="107">
        <f t="shared" si="26"/>
        <v>466419.14</v>
      </c>
      <c r="X70" s="110">
        <f t="shared" si="29"/>
        <v>466419.14</v>
      </c>
      <c r="Y70" s="107">
        <v>247748</v>
      </c>
      <c r="Z70" s="107">
        <f t="shared" si="28"/>
        <v>297297.59999999998</v>
      </c>
      <c r="AA70" s="110">
        <v>466310</v>
      </c>
      <c r="AB70" s="110">
        <f>472360+6000+5660+43000</f>
        <v>527020</v>
      </c>
      <c r="AC70" s="110">
        <v>632000</v>
      </c>
      <c r="AD70" s="108">
        <f t="shared" si="27"/>
        <v>632000</v>
      </c>
      <c r="AE70" s="107">
        <v>753000</v>
      </c>
      <c r="AF70" s="107">
        <v>753000</v>
      </c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36"/>
      <c r="CN70" s="36"/>
      <c r="CO70" s="3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  <c r="GS70" s="14"/>
      <c r="GT70" s="14"/>
      <c r="GU70" s="14"/>
      <c r="GV70" s="14"/>
      <c r="GW70" s="14"/>
      <c r="GX70" s="14"/>
      <c r="GY70" s="14"/>
      <c r="GZ70" s="14"/>
      <c r="HA70" s="14"/>
      <c r="HB70" s="14"/>
      <c r="HC70" s="14"/>
      <c r="HD70" s="14"/>
      <c r="HE70" s="14"/>
      <c r="HF70" s="14"/>
      <c r="HG70" s="14"/>
      <c r="HH70" s="14"/>
      <c r="HI70" s="14"/>
      <c r="HJ70" s="14"/>
      <c r="HK70" s="14"/>
      <c r="HL70" s="14"/>
      <c r="HM70" s="14"/>
      <c r="HN70" s="14"/>
      <c r="HO70" s="14"/>
      <c r="HP70" s="14"/>
      <c r="HQ70" s="14"/>
      <c r="HR70" s="14"/>
      <c r="HS70" s="14"/>
      <c r="HT70" s="14"/>
      <c r="HU70" s="14"/>
      <c r="HV70" s="14"/>
      <c r="HW70" s="14"/>
      <c r="HX70" s="14"/>
      <c r="HY70" s="14"/>
      <c r="HZ70" s="14"/>
      <c r="IA70" s="14"/>
      <c r="IB70" s="14"/>
      <c r="IC70" s="14"/>
      <c r="ID70" s="14"/>
      <c r="IE70" s="14"/>
      <c r="IF70" s="14"/>
      <c r="IG70" s="14"/>
      <c r="IH70" s="14"/>
      <c r="II70" s="14"/>
      <c r="IJ70" s="14"/>
      <c r="IK70" s="14"/>
      <c r="IL70" s="14"/>
      <c r="IM70" s="14"/>
      <c r="IN70" s="14"/>
      <c r="IO70" s="14"/>
      <c r="IP70" s="14"/>
      <c r="IQ70" s="14"/>
      <c r="IR70" s="14"/>
      <c r="IS70" s="14"/>
      <c r="IT70" s="14"/>
      <c r="IU70" s="14"/>
      <c r="IV70" s="14"/>
    </row>
    <row r="71" spans="2:256" ht="30" customHeight="1" x14ac:dyDescent="0.25">
      <c r="B71" s="14"/>
      <c r="C71" s="143">
        <v>313200.924</v>
      </c>
      <c r="D71" s="153" t="s">
        <v>500</v>
      </c>
      <c r="E71" s="104"/>
      <c r="F71" s="105"/>
      <c r="G71" s="126"/>
      <c r="H71" s="104"/>
      <c r="I71" s="104"/>
      <c r="J71" s="154"/>
      <c r="K71" s="107"/>
      <c r="L71" s="107"/>
      <c r="M71" s="107"/>
      <c r="N71" s="108"/>
      <c r="O71" s="109"/>
      <c r="P71" s="109"/>
      <c r="Q71" s="109"/>
      <c r="R71" s="107">
        <v>0</v>
      </c>
      <c r="S71" s="107">
        <v>0</v>
      </c>
      <c r="T71" s="107">
        <f t="shared" si="25"/>
        <v>0</v>
      </c>
      <c r="U71" s="107">
        <v>110995</v>
      </c>
      <c r="V71" s="107">
        <v>233209.57</v>
      </c>
      <c r="W71" s="107">
        <f t="shared" si="26"/>
        <v>466419.14</v>
      </c>
      <c r="X71" s="110">
        <f t="shared" si="29"/>
        <v>466419.14</v>
      </c>
      <c r="Y71" s="107">
        <v>247748</v>
      </c>
      <c r="Z71" s="107">
        <f t="shared" si="28"/>
        <v>297297.59999999998</v>
      </c>
      <c r="AA71" s="110">
        <v>335097</v>
      </c>
      <c r="AB71" s="110">
        <f>325002+6000+5660+25000</f>
        <v>361662</v>
      </c>
      <c r="AC71" s="110">
        <v>434000</v>
      </c>
      <c r="AD71" s="108">
        <f t="shared" si="27"/>
        <v>434000</v>
      </c>
      <c r="AE71" s="107">
        <v>468000</v>
      </c>
      <c r="AF71" s="107">
        <v>468000</v>
      </c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36"/>
      <c r="CN71" s="36"/>
      <c r="CO71" s="3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  <c r="GS71" s="14"/>
      <c r="GT71" s="14"/>
      <c r="GU71" s="14"/>
      <c r="GV71" s="14"/>
      <c r="GW71" s="14"/>
      <c r="GX71" s="14"/>
      <c r="GY71" s="14"/>
      <c r="GZ71" s="14"/>
      <c r="HA71" s="14"/>
      <c r="HB71" s="14"/>
      <c r="HC71" s="14"/>
      <c r="HD71" s="14"/>
      <c r="HE71" s="14"/>
      <c r="HF71" s="14"/>
      <c r="HG71" s="14"/>
      <c r="HH71" s="14"/>
      <c r="HI71" s="14"/>
      <c r="HJ71" s="14"/>
      <c r="HK71" s="14"/>
      <c r="HL71" s="14"/>
      <c r="HM71" s="14"/>
      <c r="HN71" s="14"/>
      <c r="HO71" s="14"/>
      <c r="HP71" s="14"/>
      <c r="HQ71" s="14"/>
      <c r="HR71" s="14"/>
      <c r="HS71" s="14"/>
      <c r="HT71" s="14"/>
      <c r="HU71" s="14"/>
      <c r="HV71" s="14"/>
      <c r="HW71" s="14"/>
      <c r="HX71" s="14"/>
      <c r="HY71" s="14"/>
      <c r="HZ71" s="14"/>
      <c r="IA71" s="14"/>
      <c r="IB71" s="14"/>
      <c r="IC71" s="14"/>
      <c r="ID71" s="14"/>
      <c r="IE71" s="14"/>
      <c r="IF71" s="14"/>
      <c r="IG71" s="14"/>
      <c r="IH71" s="14"/>
      <c r="II71" s="14"/>
      <c r="IJ71" s="14"/>
      <c r="IK71" s="14"/>
      <c r="IL71" s="14"/>
      <c r="IM71" s="14"/>
      <c r="IN71" s="14"/>
      <c r="IO71" s="14"/>
      <c r="IP71" s="14"/>
      <c r="IQ71" s="14"/>
      <c r="IR71" s="14"/>
      <c r="IS71" s="14"/>
      <c r="IT71" s="14"/>
      <c r="IU71" s="14"/>
      <c r="IV71" s="14"/>
    </row>
    <row r="72" spans="2:256" ht="30" customHeight="1" x14ac:dyDescent="0.25">
      <c r="B72" s="14"/>
      <c r="C72" s="143">
        <v>313200.92499999999</v>
      </c>
      <c r="D72" s="153" t="s">
        <v>501</v>
      </c>
      <c r="E72" s="104"/>
      <c r="F72" s="105"/>
      <c r="G72" s="126"/>
      <c r="H72" s="104"/>
      <c r="I72" s="104"/>
      <c r="J72" s="154"/>
      <c r="K72" s="107"/>
      <c r="L72" s="107"/>
      <c r="M72" s="107"/>
      <c r="N72" s="108"/>
      <c r="O72" s="109"/>
      <c r="P72" s="109"/>
      <c r="Q72" s="109"/>
      <c r="R72" s="107">
        <v>0</v>
      </c>
      <c r="S72" s="107">
        <v>0</v>
      </c>
      <c r="T72" s="107">
        <f t="shared" si="25"/>
        <v>0</v>
      </c>
      <c r="U72" s="107">
        <v>125045</v>
      </c>
      <c r="V72" s="107">
        <v>233209.57</v>
      </c>
      <c r="W72" s="107">
        <f t="shared" ref="W72:W129" si="30">V72*2</f>
        <v>466419.14</v>
      </c>
      <c r="X72" s="110">
        <f t="shared" si="29"/>
        <v>466419.14</v>
      </c>
      <c r="Y72" s="107">
        <v>247748</v>
      </c>
      <c r="Z72" s="107">
        <f t="shared" si="28"/>
        <v>297297.59999999998</v>
      </c>
      <c r="AA72" s="110">
        <v>365080</v>
      </c>
      <c r="AB72" s="110">
        <f>369166+6000+5660+33792</f>
        <v>414618</v>
      </c>
      <c r="AC72" s="110">
        <v>498000</v>
      </c>
      <c r="AD72" s="108">
        <f t="shared" si="27"/>
        <v>498000</v>
      </c>
      <c r="AE72" s="107">
        <v>492000</v>
      </c>
      <c r="AF72" s="107">
        <v>492000</v>
      </c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36"/>
      <c r="CN72" s="36"/>
      <c r="CO72" s="3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  <c r="GS72" s="14"/>
      <c r="GT72" s="14"/>
      <c r="GU72" s="14"/>
      <c r="GV72" s="14"/>
      <c r="GW72" s="14"/>
      <c r="GX72" s="14"/>
      <c r="GY72" s="14"/>
      <c r="GZ72" s="14"/>
      <c r="HA72" s="14"/>
      <c r="HB72" s="14"/>
      <c r="HC72" s="14"/>
      <c r="HD72" s="14"/>
      <c r="HE72" s="14"/>
      <c r="HF72" s="14"/>
      <c r="HG72" s="14"/>
      <c r="HH72" s="14"/>
      <c r="HI72" s="14"/>
      <c r="HJ72" s="14"/>
      <c r="HK72" s="14"/>
      <c r="HL72" s="14"/>
      <c r="HM72" s="14"/>
      <c r="HN72" s="14"/>
      <c r="HO72" s="14"/>
      <c r="HP72" s="14"/>
      <c r="HQ72" s="14"/>
      <c r="HR72" s="14"/>
      <c r="HS72" s="14"/>
      <c r="HT72" s="14"/>
      <c r="HU72" s="14"/>
      <c r="HV72" s="14"/>
      <c r="HW72" s="14"/>
      <c r="HX72" s="14"/>
      <c r="HY72" s="14"/>
      <c r="HZ72" s="14"/>
      <c r="IA72" s="14"/>
      <c r="IB72" s="14"/>
      <c r="IC72" s="14"/>
      <c r="ID72" s="14"/>
      <c r="IE72" s="14"/>
      <c r="IF72" s="14"/>
      <c r="IG72" s="14"/>
      <c r="IH72" s="14"/>
      <c r="II72" s="14"/>
      <c r="IJ72" s="14"/>
      <c r="IK72" s="14"/>
      <c r="IL72" s="14"/>
      <c r="IM72" s="14"/>
      <c r="IN72" s="14"/>
      <c r="IO72" s="14"/>
      <c r="IP72" s="14"/>
      <c r="IQ72" s="14"/>
      <c r="IR72" s="14"/>
      <c r="IS72" s="14"/>
      <c r="IT72" s="14"/>
      <c r="IU72" s="14"/>
      <c r="IV72" s="14"/>
    </row>
    <row r="73" spans="2:256" ht="30" customHeight="1" x14ac:dyDescent="0.25">
      <c r="B73" s="14"/>
      <c r="C73" s="143">
        <v>313200.92599999998</v>
      </c>
      <c r="D73" s="153" t="s">
        <v>502</v>
      </c>
      <c r="E73" s="104"/>
      <c r="F73" s="105"/>
      <c r="G73" s="126"/>
      <c r="H73" s="104"/>
      <c r="I73" s="104"/>
      <c r="J73" s="154"/>
      <c r="K73" s="107"/>
      <c r="L73" s="107"/>
      <c r="M73" s="107"/>
      <c r="N73" s="108"/>
      <c r="O73" s="109"/>
      <c r="P73" s="109"/>
      <c r="Q73" s="109"/>
      <c r="R73" s="107">
        <v>0</v>
      </c>
      <c r="S73" s="107">
        <v>0</v>
      </c>
      <c r="T73" s="107">
        <f t="shared" si="25"/>
        <v>0</v>
      </c>
      <c r="U73" s="107">
        <v>95540</v>
      </c>
      <c r="V73" s="107">
        <v>233209.57</v>
      </c>
      <c r="W73" s="107">
        <f t="shared" si="30"/>
        <v>466419.14</v>
      </c>
      <c r="X73" s="110">
        <f t="shared" si="29"/>
        <v>466419.14</v>
      </c>
      <c r="Y73" s="107">
        <v>247747</v>
      </c>
      <c r="Z73" s="107">
        <f t="shared" si="28"/>
        <v>297296.40000000002</v>
      </c>
      <c r="AA73" s="110">
        <v>311167</v>
      </c>
      <c r="AB73" s="110">
        <f>271103+6000+5660+25000</f>
        <v>307763</v>
      </c>
      <c r="AC73" s="110">
        <v>369000</v>
      </c>
      <c r="AD73" s="108">
        <f t="shared" si="27"/>
        <v>369000</v>
      </c>
      <c r="AE73" s="107">
        <v>373000</v>
      </c>
      <c r="AF73" s="107">
        <v>373000</v>
      </c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36"/>
      <c r="CN73" s="36"/>
      <c r="CO73" s="3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  <c r="GS73" s="14"/>
      <c r="GT73" s="14"/>
      <c r="GU73" s="14"/>
      <c r="GV73" s="14"/>
      <c r="GW73" s="14"/>
      <c r="GX73" s="14"/>
      <c r="GY73" s="14"/>
      <c r="GZ73" s="14"/>
      <c r="HA73" s="14"/>
      <c r="HB73" s="14"/>
      <c r="HC73" s="14"/>
      <c r="HD73" s="14"/>
      <c r="HE73" s="14"/>
      <c r="HF73" s="14"/>
      <c r="HG73" s="14"/>
      <c r="HH73" s="14"/>
      <c r="HI73" s="14"/>
      <c r="HJ73" s="14"/>
      <c r="HK73" s="14"/>
      <c r="HL73" s="14"/>
      <c r="HM73" s="14"/>
      <c r="HN73" s="14"/>
      <c r="HO73" s="14"/>
      <c r="HP73" s="14"/>
      <c r="HQ73" s="14"/>
      <c r="HR73" s="14"/>
      <c r="HS73" s="14"/>
      <c r="HT73" s="14"/>
      <c r="HU73" s="14"/>
      <c r="HV73" s="14"/>
      <c r="HW73" s="14"/>
      <c r="HX73" s="14"/>
      <c r="HY73" s="14"/>
      <c r="HZ73" s="14"/>
      <c r="IA73" s="14"/>
      <c r="IB73" s="14"/>
      <c r="IC73" s="14"/>
      <c r="ID73" s="14"/>
      <c r="IE73" s="14"/>
      <c r="IF73" s="14"/>
      <c r="IG73" s="14"/>
      <c r="IH73" s="14"/>
      <c r="II73" s="14"/>
      <c r="IJ73" s="14"/>
      <c r="IK73" s="14"/>
      <c r="IL73" s="14"/>
      <c r="IM73" s="14"/>
      <c r="IN73" s="14"/>
      <c r="IO73" s="14"/>
      <c r="IP73" s="14"/>
      <c r="IQ73" s="14"/>
      <c r="IR73" s="14"/>
      <c r="IS73" s="14"/>
      <c r="IT73" s="14"/>
      <c r="IU73" s="14"/>
      <c r="IV73" s="14"/>
    </row>
    <row r="74" spans="2:256" ht="30" customHeight="1" x14ac:dyDescent="0.25">
      <c r="B74" s="14"/>
      <c r="C74" s="143">
        <v>313200.92700000003</v>
      </c>
      <c r="D74" s="153" t="s">
        <v>503</v>
      </c>
      <c r="E74" s="104"/>
      <c r="F74" s="105"/>
      <c r="G74" s="126"/>
      <c r="H74" s="104"/>
      <c r="I74" s="104"/>
      <c r="J74" s="154"/>
      <c r="K74" s="107"/>
      <c r="L74" s="107"/>
      <c r="M74" s="107"/>
      <c r="N74" s="108"/>
      <c r="O74" s="109"/>
      <c r="P74" s="109"/>
      <c r="Q74" s="109"/>
      <c r="R74" s="107">
        <v>0</v>
      </c>
      <c r="S74" s="107">
        <v>0</v>
      </c>
      <c r="T74" s="107">
        <f t="shared" si="25"/>
        <v>0</v>
      </c>
      <c r="U74" s="107">
        <v>108747</v>
      </c>
      <c r="V74" s="107">
        <v>233209.57</v>
      </c>
      <c r="W74" s="107">
        <f t="shared" si="30"/>
        <v>466419.14</v>
      </c>
      <c r="X74" s="110">
        <f t="shared" si="29"/>
        <v>466419.14</v>
      </c>
      <c r="Y74" s="107">
        <v>247746</v>
      </c>
      <c r="Z74" s="107">
        <f t="shared" si="28"/>
        <v>297295.2</v>
      </c>
      <c r="AA74" s="110">
        <v>335097</v>
      </c>
      <c r="AB74" s="110">
        <f>324384+6000+5660+30000</f>
        <v>366044</v>
      </c>
      <c r="AC74" s="110">
        <v>439000</v>
      </c>
      <c r="AD74" s="108">
        <f t="shared" si="27"/>
        <v>439000</v>
      </c>
      <c r="AE74" s="107">
        <v>498000</v>
      </c>
      <c r="AF74" s="107">
        <v>498000</v>
      </c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36"/>
      <c r="CN74" s="36"/>
      <c r="CO74" s="3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  <c r="IQ74" s="14"/>
      <c r="IR74" s="14"/>
      <c r="IS74" s="14"/>
      <c r="IT74" s="14"/>
      <c r="IU74" s="14"/>
      <c r="IV74" s="14"/>
    </row>
    <row r="75" spans="2:256" ht="30" customHeight="1" x14ac:dyDescent="0.25">
      <c r="B75" s="14"/>
      <c r="C75" s="143">
        <v>313200.92800000001</v>
      </c>
      <c r="D75" s="153" t="s">
        <v>504</v>
      </c>
      <c r="E75" s="104"/>
      <c r="F75" s="105"/>
      <c r="G75" s="126"/>
      <c r="H75" s="104"/>
      <c r="I75" s="104"/>
      <c r="J75" s="154"/>
      <c r="K75" s="107"/>
      <c r="L75" s="107"/>
      <c r="M75" s="107"/>
      <c r="N75" s="108"/>
      <c r="O75" s="109"/>
      <c r="P75" s="109"/>
      <c r="Q75" s="109"/>
      <c r="R75" s="107">
        <v>0</v>
      </c>
      <c r="S75" s="107">
        <v>0</v>
      </c>
      <c r="T75" s="107">
        <f t="shared" si="25"/>
        <v>0</v>
      </c>
      <c r="U75" s="107">
        <v>169443</v>
      </c>
      <c r="V75" s="107">
        <v>233209.57</v>
      </c>
      <c r="W75" s="107">
        <f t="shared" si="30"/>
        <v>466419.14</v>
      </c>
      <c r="X75" s="110">
        <f t="shared" si="29"/>
        <v>466419.14</v>
      </c>
      <c r="Y75" s="107">
        <v>247746</v>
      </c>
      <c r="Z75" s="107">
        <f t="shared" si="28"/>
        <v>297295.2</v>
      </c>
      <c r="AA75" s="110">
        <v>454746</v>
      </c>
      <c r="AB75" s="110">
        <f>443555+6000+5660+40000</f>
        <v>495215</v>
      </c>
      <c r="AC75" s="110">
        <v>594000</v>
      </c>
      <c r="AD75" s="108">
        <f t="shared" si="27"/>
        <v>594000</v>
      </c>
      <c r="AE75" s="107">
        <v>692000</v>
      </c>
      <c r="AF75" s="107">
        <v>692000</v>
      </c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36"/>
      <c r="CN75" s="36"/>
      <c r="CO75" s="3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  <c r="GS75" s="14"/>
      <c r="GT75" s="14"/>
      <c r="GU75" s="14"/>
      <c r="GV75" s="14"/>
      <c r="GW75" s="14"/>
      <c r="GX75" s="14"/>
      <c r="GY75" s="14"/>
      <c r="GZ75" s="14"/>
      <c r="HA75" s="14"/>
      <c r="HB75" s="14"/>
      <c r="HC75" s="14"/>
      <c r="HD75" s="14"/>
      <c r="HE75" s="14"/>
      <c r="HF75" s="14"/>
      <c r="HG75" s="14"/>
      <c r="HH75" s="14"/>
      <c r="HI75" s="14"/>
      <c r="HJ75" s="14"/>
      <c r="HK75" s="14"/>
      <c r="HL75" s="14"/>
      <c r="HM75" s="14"/>
      <c r="HN75" s="14"/>
      <c r="HO75" s="14"/>
      <c r="HP75" s="14"/>
      <c r="HQ75" s="14"/>
      <c r="HR75" s="14"/>
      <c r="HS75" s="14"/>
      <c r="HT75" s="14"/>
      <c r="HU75" s="14"/>
      <c r="HV75" s="14"/>
      <c r="HW75" s="14"/>
      <c r="HX75" s="14"/>
      <c r="HY75" s="14"/>
      <c r="HZ75" s="14"/>
      <c r="IA75" s="14"/>
      <c r="IB75" s="14"/>
      <c r="IC75" s="14"/>
      <c r="ID75" s="14"/>
      <c r="IE75" s="14"/>
      <c r="IF75" s="14"/>
      <c r="IG75" s="14"/>
      <c r="IH75" s="14"/>
      <c r="II75" s="14"/>
      <c r="IJ75" s="14"/>
      <c r="IK75" s="14"/>
      <c r="IL75" s="14"/>
      <c r="IM75" s="14"/>
      <c r="IN75" s="14"/>
      <c r="IO75" s="14"/>
      <c r="IP75" s="14"/>
      <c r="IQ75" s="14"/>
      <c r="IR75" s="14"/>
      <c r="IS75" s="14"/>
      <c r="IT75" s="14"/>
      <c r="IU75" s="14"/>
      <c r="IV75" s="14"/>
    </row>
    <row r="76" spans="2:256" ht="30" customHeight="1" x14ac:dyDescent="0.25">
      <c r="B76" s="14"/>
      <c r="C76" s="143">
        <v>313200.929</v>
      </c>
      <c r="D76" s="153" t="s">
        <v>505</v>
      </c>
      <c r="E76" s="104"/>
      <c r="F76" s="105"/>
      <c r="G76" s="126"/>
      <c r="H76" s="104"/>
      <c r="I76" s="104"/>
      <c r="J76" s="154"/>
      <c r="K76" s="107"/>
      <c r="L76" s="107"/>
      <c r="M76" s="107"/>
      <c r="N76" s="108"/>
      <c r="O76" s="109"/>
      <c r="P76" s="109"/>
      <c r="Q76" s="109"/>
      <c r="R76" s="107">
        <v>0</v>
      </c>
      <c r="S76" s="107">
        <v>0</v>
      </c>
      <c r="T76" s="107">
        <f t="shared" si="25"/>
        <v>0</v>
      </c>
      <c r="U76" s="107">
        <v>134037</v>
      </c>
      <c r="V76" s="107">
        <v>233209.57</v>
      </c>
      <c r="W76" s="107">
        <f t="shared" si="30"/>
        <v>466419.14</v>
      </c>
      <c r="X76" s="110">
        <f t="shared" si="29"/>
        <v>466419.14</v>
      </c>
      <c r="Y76" s="107">
        <v>247746</v>
      </c>
      <c r="Z76" s="107">
        <f t="shared" si="28"/>
        <v>297295.2</v>
      </c>
      <c r="AA76" s="110">
        <v>406887</v>
      </c>
      <c r="AB76" s="110">
        <f>375379+6000+5660+35000</f>
        <v>422039</v>
      </c>
      <c r="AC76" s="110">
        <v>506000</v>
      </c>
      <c r="AD76" s="108">
        <f t="shared" si="27"/>
        <v>506000</v>
      </c>
      <c r="AE76" s="107">
        <v>545000</v>
      </c>
      <c r="AF76" s="107">
        <v>545000</v>
      </c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36"/>
      <c r="CN76" s="36"/>
      <c r="CO76" s="3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  <c r="GS76" s="14"/>
      <c r="GT76" s="14"/>
      <c r="GU76" s="14"/>
      <c r="GV76" s="14"/>
      <c r="GW76" s="14"/>
      <c r="GX76" s="14"/>
      <c r="GY76" s="14"/>
      <c r="GZ76" s="14"/>
      <c r="HA76" s="14"/>
      <c r="HB76" s="14"/>
      <c r="HC76" s="14"/>
      <c r="HD76" s="14"/>
      <c r="HE76" s="14"/>
      <c r="HF76" s="14"/>
      <c r="HG76" s="14"/>
      <c r="HH76" s="14"/>
      <c r="HI76" s="14"/>
      <c r="HJ76" s="14"/>
      <c r="HK76" s="14"/>
      <c r="HL76" s="14"/>
      <c r="HM76" s="14"/>
      <c r="HN76" s="14"/>
      <c r="HO76" s="14"/>
      <c r="HP76" s="14"/>
      <c r="HQ76" s="14"/>
      <c r="HR76" s="14"/>
      <c r="HS76" s="14"/>
      <c r="HT76" s="14"/>
      <c r="HU76" s="14"/>
      <c r="HV76" s="14"/>
      <c r="HW76" s="14"/>
      <c r="HX76" s="1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  <c r="IM76" s="14"/>
      <c r="IN76" s="14"/>
      <c r="IO76" s="14"/>
      <c r="IP76" s="14"/>
      <c r="IQ76" s="14"/>
      <c r="IR76" s="14"/>
      <c r="IS76" s="14"/>
      <c r="IT76" s="14"/>
      <c r="IU76" s="14"/>
      <c r="IV76" s="14"/>
    </row>
    <row r="77" spans="2:256" ht="30" customHeight="1" x14ac:dyDescent="0.25">
      <c r="B77" s="14"/>
      <c r="C77" s="143">
        <v>313232.92</v>
      </c>
      <c r="D77" s="153" t="s">
        <v>539</v>
      </c>
      <c r="E77" s="104"/>
      <c r="F77" s="105"/>
      <c r="G77" s="126"/>
      <c r="H77" s="104"/>
      <c r="I77" s="104"/>
      <c r="J77" s="154"/>
      <c r="K77" s="107"/>
      <c r="L77" s="107"/>
      <c r="M77" s="107"/>
      <c r="N77" s="108"/>
      <c r="O77" s="109"/>
      <c r="P77" s="109"/>
      <c r="Q77" s="109"/>
      <c r="R77" s="107"/>
      <c r="S77" s="107"/>
      <c r="T77" s="107">
        <f t="shared" si="25"/>
        <v>0</v>
      </c>
      <c r="U77" s="107">
        <v>103917</v>
      </c>
      <c r="V77" s="107">
        <v>146229.6</v>
      </c>
      <c r="W77" s="107">
        <f t="shared" si="30"/>
        <v>292459.2</v>
      </c>
      <c r="X77" s="110">
        <v>292000</v>
      </c>
      <c r="Y77" s="107">
        <v>150531</v>
      </c>
      <c r="Z77" s="107">
        <f t="shared" si="28"/>
        <v>180637.2</v>
      </c>
      <c r="AA77" s="110">
        <v>175000</v>
      </c>
      <c r="AB77" s="110">
        <v>16358</v>
      </c>
      <c r="AC77" s="110">
        <f>20000+150000</f>
        <v>170000</v>
      </c>
      <c r="AD77" s="108">
        <f t="shared" si="27"/>
        <v>170000</v>
      </c>
      <c r="AE77" s="107">
        <v>22000</v>
      </c>
      <c r="AF77" s="107">
        <v>22000</v>
      </c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36"/>
      <c r="CN77" s="36"/>
      <c r="CO77" s="3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  <c r="IQ77" s="14"/>
      <c r="IR77" s="14"/>
      <c r="IS77" s="14"/>
      <c r="IT77" s="14"/>
      <c r="IU77" s="14"/>
      <c r="IV77" s="14"/>
    </row>
    <row r="78" spans="2:256" ht="30" customHeight="1" x14ac:dyDescent="0.25">
      <c r="B78" s="14"/>
      <c r="C78" s="143">
        <v>313233.91999999998</v>
      </c>
      <c r="D78" s="153" t="s">
        <v>538</v>
      </c>
      <c r="E78" s="104"/>
      <c r="F78" s="105"/>
      <c r="G78" s="126"/>
      <c r="H78" s="104"/>
      <c r="I78" s="104"/>
      <c r="J78" s="154"/>
      <c r="K78" s="107"/>
      <c r="L78" s="107"/>
      <c r="M78" s="107"/>
      <c r="N78" s="108"/>
      <c r="O78" s="109"/>
      <c r="P78" s="109"/>
      <c r="Q78" s="109"/>
      <c r="R78" s="107"/>
      <c r="S78" s="107"/>
      <c r="T78" s="107">
        <f t="shared" si="25"/>
        <v>0</v>
      </c>
      <c r="U78" s="107">
        <v>53222</v>
      </c>
      <c r="V78" s="107">
        <v>0</v>
      </c>
      <c r="W78" s="107">
        <f t="shared" si="30"/>
        <v>0</v>
      </c>
      <c r="X78" s="110">
        <f>U78</f>
        <v>53222</v>
      </c>
      <c r="Y78" s="107">
        <v>32797</v>
      </c>
      <c r="Z78" s="107">
        <f t="shared" si="28"/>
        <v>39356.400000000001</v>
      </c>
      <c r="AA78" s="110">
        <v>53000</v>
      </c>
      <c r="AB78" s="110">
        <v>56311</v>
      </c>
      <c r="AC78" s="110">
        <v>57000</v>
      </c>
      <c r="AD78" s="108">
        <f t="shared" si="27"/>
        <v>57000</v>
      </c>
      <c r="AE78" s="107">
        <v>147000</v>
      </c>
      <c r="AF78" s="107">
        <v>147000</v>
      </c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36"/>
      <c r="CN78" s="36"/>
      <c r="CO78" s="3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  <c r="GS78" s="14"/>
      <c r="GT78" s="14"/>
      <c r="GU78" s="14"/>
      <c r="GV78" s="14"/>
      <c r="GW78" s="14"/>
      <c r="GX78" s="14"/>
      <c r="GY78" s="14"/>
      <c r="GZ78" s="14"/>
      <c r="HA78" s="14"/>
      <c r="HB78" s="14"/>
      <c r="HC78" s="14"/>
      <c r="HD78" s="14"/>
      <c r="HE78" s="14"/>
      <c r="HF78" s="14"/>
      <c r="HG78" s="14"/>
      <c r="HH78" s="14"/>
      <c r="HI78" s="14"/>
      <c r="HJ78" s="14"/>
      <c r="HK78" s="14"/>
      <c r="HL78" s="14"/>
      <c r="HM78" s="14"/>
      <c r="HN78" s="14"/>
      <c r="HO78" s="14"/>
      <c r="HP78" s="14"/>
      <c r="HQ78" s="14"/>
      <c r="HR78" s="14"/>
      <c r="HS78" s="14"/>
      <c r="HT78" s="14"/>
      <c r="HU78" s="14"/>
      <c r="HV78" s="14"/>
      <c r="HW78" s="14"/>
      <c r="HX78" s="14"/>
      <c r="HY78" s="14"/>
      <c r="HZ78" s="14"/>
      <c r="IA78" s="14"/>
      <c r="IB78" s="14"/>
      <c r="IC78" s="14"/>
      <c r="ID78" s="14"/>
      <c r="IE78" s="14"/>
      <c r="IF78" s="14"/>
      <c r="IG78" s="14"/>
      <c r="IH78" s="14"/>
      <c r="II78" s="14"/>
      <c r="IJ78" s="14"/>
      <c r="IK78" s="14"/>
      <c r="IL78" s="14"/>
      <c r="IM78" s="14"/>
      <c r="IN78" s="14"/>
      <c r="IO78" s="14"/>
      <c r="IP78" s="14"/>
      <c r="IQ78" s="14"/>
      <c r="IR78" s="14"/>
      <c r="IS78" s="14"/>
      <c r="IT78" s="14"/>
      <c r="IU78" s="14"/>
      <c r="IV78" s="14"/>
    </row>
    <row r="79" spans="2:256" ht="30" customHeight="1" x14ac:dyDescent="0.25">
      <c r="B79" s="14"/>
      <c r="C79" s="143">
        <v>313242.92</v>
      </c>
      <c r="D79" s="153" t="s">
        <v>540</v>
      </c>
      <c r="E79" s="104"/>
      <c r="F79" s="105"/>
      <c r="G79" s="126"/>
      <c r="H79" s="104"/>
      <c r="I79" s="104"/>
      <c r="J79" s="154"/>
      <c r="K79" s="107"/>
      <c r="L79" s="107"/>
      <c r="M79" s="107"/>
      <c r="N79" s="108"/>
      <c r="O79" s="109"/>
      <c r="P79" s="109"/>
      <c r="Q79" s="109"/>
      <c r="R79" s="107"/>
      <c r="S79" s="107"/>
      <c r="T79" s="107">
        <f t="shared" si="25"/>
        <v>0</v>
      </c>
      <c r="U79" s="107">
        <v>167742</v>
      </c>
      <c r="V79" s="107">
        <v>124771</v>
      </c>
      <c r="W79" s="107">
        <f t="shared" si="30"/>
        <v>249542</v>
      </c>
      <c r="X79" s="110">
        <v>250000</v>
      </c>
      <c r="Y79" s="107">
        <v>202732</v>
      </c>
      <c r="Z79" s="107">
        <f t="shared" si="28"/>
        <v>243278.4</v>
      </c>
      <c r="AA79" s="110">
        <v>220000</v>
      </c>
      <c r="AB79" s="110">
        <f>175190+22722</f>
        <v>197912</v>
      </c>
      <c r="AC79" s="110">
        <v>237000</v>
      </c>
      <c r="AD79" s="108">
        <f t="shared" si="27"/>
        <v>237000</v>
      </c>
      <c r="AE79" s="107">
        <v>220000</v>
      </c>
      <c r="AF79" s="107">
        <v>220000</v>
      </c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36"/>
      <c r="CN79" s="36"/>
      <c r="CO79" s="3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  <c r="GS79" s="14"/>
      <c r="GT79" s="14"/>
      <c r="GU79" s="14"/>
      <c r="GV79" s="14"/>
      <c r="GW79" s="14"/>
      <c r="GX79" s="14"/>
      <c r="GY79" s="14"/>
      <c r="GZ79" s="14"/>
      <c r="HA79" s="14"/>
      <c r="HB79" s="14"/>
      <c r="HC79" s="14"/>
      <c r="HD79" s="14"/>
      <c r="HE79" s="14"/>
      <c r="HF79" s="14"/>
      <c r="HG79" s="14"/>
      <c r="HH79" s="14"/>
      <c r="HI79" s="14"/>
      <c r="HJ79" s="14"/>
      <c r="HK79" s="14"/>
      <c r="HL79" s="14"/>
      <c r="HM79" s="14"/>
      <c r="HN79" s="14"/>
      <c r="HO79" s="14"/>
      <c r="HP79" s="14"/>
      <c r="HQ79" s="14"/>
      <c r="HR79" s="14"/>
      <c r="HS79" s="14"/>
      <c r="HT79" s="14"/>
      <c r="HU79" s="14"/>
      <c r="HV79" s="14"/>
      <c r="HW79" s="14"/>
      <c r="HX79" s="14"/>
      <c r="HY79" s="14"/>
      <c r="HZ79" s="14"/>
      <c r="IA79" s="14"/>
      <c r="IB79" s="14"/>
      <c r="IC79" s="14"/>
      <c r="ID79" s="14"/>
      <c r="IE79" s="14"/>
      <c r="IF79" s="14"/>
      <c r="IG79" s="14"/>
      <c r="IH79" s="14"/>
      <c r="II79" s="14"/>
      <c r="IJ79" s="14"/>
      <c r="IK79" s="14"/>
      <c r="IL79" s="14"/>
      <c r="IM79" s="14"/>
      <c r="IN79" s="14"/>
      <c r="IO79" s="14"/>
      <c r="IP79" s="14"/>
      <c r="IQ79" s="14"/>
      <c r="IR79" s="14"/>
      <c r="IS79" s="14"/>
      <c r="IT79" s="14"/>
      <c r="IU79" s="14"/>
      <c r="IV79" s="14"/>
    </row>
    <row r="80" spans="2:256" ht="30" customHeight="1" x14ac:dyDescent="0.25">
      <c r="B80" s="14">
        <v>534496</v>
      </c>
      <c r="C80" s="143">
        <v>313300.92</v>
      </c>
      <c r="D80" s="153" t="s">
        <v>298</v>
      </c>
      <c r="E80" s="104">
        <v>350000</v>
      </c>
      <c r="F80" s="105"/>
      <c r="G80" s="126">
        <v>107910</v>
      </c>
      <c r="H80" s="104">
        <v>250000</v>
      </c>
      <c r="I80" s="104">
        <f>4/3</f>
        <v>1.3333333333333333</v>
      </c>
      <c r="J80" s="154"/>
      <c r="K80" s="107">
        <v>250000</v>
      </c>
      <c r="L80" s="107">
        <v>61191</v>
      </c>
      <c r="M80" s="107">
        <v>139309</v>
      </c>
      <c r="N80" s="108"/>
      <c r="O80" s="109">
        <f>M80*4/3</f>
        <v>185745.33333333334</v>
      </c>
      <c r="P80" s="109">
        <v>5000</v>
      </c>
      <c r="Q80" s="109">
        <f>P80/7*5</f>
        <v>3571.4285714285716</v>
      </c>
      <c r="R80" s="107">
        <v>250000</v>
      </c>
      <c r="S80" s="107">
        <v>250000</v>
      </c>
      <c r="T80" s="107">
        <f t="shared" si="25"/>
        <v>8571.4285714285725</v>
      </c>
      <c r="U80" s="107">
        <v>0</v>
      </c>
      <c r="V80" s="107">
        <v>4524</v>
      </c>
      <c r="W80" s="107">
        <f t="shared" si="30"/>
        <v>9048</v>
      </c>
      <c r="X80" s="110">
        <v>10000</v>
      </c>
      <c r="Y80" s="107">
        <v>4524</v>
      </c>
      <c r="Z80" s="107">
        <f t="shared" si="28"/>
        <v>5428.8</v>
      </c>
      <c r="AA80" s="110">
        <v>70000</v>
      </c>
      <c r="AB80" s="110">
        <f>3676+6512</f>
        <v>10188</v>
      </c>
      <c r="AC80" s="110">
        <v>12000</v>
      </c>
      <c r="AD80" s="108">
        <f t="shared" si="27"/>
        <v>12000</v>
      </c>
      <c r="AE80" s="107"/>
      <c r="AF80" s="107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36"/>
      <c r="CN80" s="36"/>
      <c r="CO80" s="3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  <c r="GS80" s="14"/>
      <c r="GT80" s="14"/>
      <c r="GU80" s="14"/>
      <c r="GV80" s="14"/>
      <c r="GW80" s="14"/>
      <c r="GX80" s="14"/>
      <c r="GY80" s="14"/>
      <c r="GZ80" s="14"/>
      <c r="HA80" s="14"/>
      <c r="HB80" s="14"/>
      <c r="HC80" s="14"/>
      <c r="HD80" s="14"/>
      <c r="HE80" s="14"/>
      <c r="HF80" s="14"/>
      <c r="HG80" s="14"/>
      <c r="HH80" s="14"/>
      <c r="HI80" s="14"/>
      <c r="HJ80" s="14"/>
      <c r="HK80" s="14"/>
      <c r="HL80" s="14"/>
      <c r="HM80" s="14"/>
      <c r="HN80" s="14"/>
      <c r="HO80" s="14"/>
      <c r="HP80" s="14"/>
      <c r="HQ80" s="14"/>
      <c r="HR80" s="14"/>
      <c r="HS80" s="14"/>
      <c r="HT80" s="14"/>
      <c r="HU80" s="14"/>
      <c r="HV80" s="14"/>
      <c r="HW80" s="14"/>
      <c r="HX80" s="14"/>
      <c r="HY80" s="14"/>
      <c r="HZ80" s="14"/>
      <c r="IA80" s="14"/>
      <c r="IB80" s="14"/>
      <c r="IC80" s="14"/>
      <c r="ID80" s="14"/>
      <c r="IE80" s="14"/>
      <c r="IF80" s="14"/>
      <c r="IG80" s="14"/>
      <c r="IH80" s="14"/>
      <c r="II80" s="14"/>
      <c r="IJ80" s="14"/>
      <c r="IK80" s="14"/>
      <c r="IL80" s="14"/>
      <c r="IM80" s="14"/>
      <c r="IN80" s="14"/>
      <c r="IO80" s="14"/>
      <c r="IP80" s="14"/>
      <c r="IQ80" s="14"/>
      <c r="IR80" s="14"/>
      <c r="IS80" s="14"/>
      <c r="IT80" s="14"/>
      <c r="IU80" s="14"/>
      <c r="IV80" s="14"/>
    </row>
    <row r="81" spans="2:256" ht="30" customHeight="1" x14ac:dyDescent="0.25">
      <c r="B81" s="14"/>
      <c r="C81" s="143">
        <v>313345.91999999998</v>
      </c>
      <c r="D81" s="103" t="s">
        <v>541</v>
      </c>
      <c r="E81" s="104"/>
      <c r="F81" s="105"/>
      <c r="G81" s="126"/>
      <c r="H81" s="104"/>
      <c r="I81" s="104"/>
      <c r="J81" s="154"/>
      <c r="K81" s="107"/>
      <c r="L81" s="107"/>
      <c r="M81" s="107"/>
      <c r="N81" s="108"/>
      <c r="O81" s="109"/>
      <c r="P81" s="109"/>
      <c r="Q81" s="109"/>
      <c r="R81" s="107"/>
      <c r="S81" s="107"/>
      <c r="T81" s="107">
        <f>Q81+P81</f>
        <v>0</v>
      </c>
      <c r="U81" s="107">
        <v>226721</v>
      </c>
      <c r="V81" s="107">
        <v>117864</v>
      </c>
      <c r="W81" s="107">
        <f t="shared" si="30"/>
        <v>235728</v>
      </c>
      <c r="X81" s="110">
        <v>240000</v>
      </c>
      <c r="Y81" s="107">
        <v>202036</v>
      </c>
      <c r="Z81" s="107">
        <f t="shared" si="28"/>
        <v>242443.2</v>
      </c>
      <c r="AA81" s="110">
        <v>322000</v>
      </c>
      <c r="AB81" s="110">
        <f>503213+62950</f>
        <v>566163</v>
      </c>
      <c r="AC81" s="110">
        <v>679000</v>
      </c>
      <c r="AD81" s="108">
        <f t="shared" si="27"/>
        <v>679000</v>
      </c>
      <c r="AE81" s="107">
        <v>820000</v>
      </c>
      <c r="AF81" s="107">
        <v>820000</v>
      </c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36"/>
      <c r="CN81" s="36"/>
      <c r="CO81" s="3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  <c r="GS81" s="14"/>
      <c r="GT81" s="14"/>
      <c r="GU81" s="14"/>
      <c r="GV81" s="14"/>
      <c r="GW81" s="14"/>
      <c r="GX81" s="14"/>
      <c r="GY81" s="14"/>
      <c r="GZ81" s="14"/>
      <c r="HA81" s="14"/>
      <c r="HB81" s="14"/>
      <c r="HC81" s="14"/>
      <c r="HD81" s="14"/>
      <c r="HE81" s="14"/>
      <c r="HF81" s="14"/>
      <c r="HG81" s="14"/>
      <c r="HH81" s="14"/>
      <c r="HI81" s="14"/>
      <c r="HJ81" s="14"/>
      <c r="HK81" s="14"/>
      <c r="HL81" s="14"/>
      <c r="HM81" s="14"/>
      <c r="HN81" s="14"/>
      <c r="HO81" s="14"/>
      <c r="HP81" s="14"/>
      <c r="HQ81" s="14"/>
      <c r="HR81" s="14"/>
      <c r="HS81" s="14"/>
      <c r="HT81" s="14"/>
      <c r="HU81" s="14"/>
      <c r="HV81" s="14"/>
      <c r="HW81" s="14"/>
      <c r="HX81" s="14"/>
      <c r="HY81" s="14"/>
      <c r="HZ81" s="14"/>
      <c r="IA81" s="14"/>
      <c r="IB81" s="14"/>
      <c r="IC81" s="14"/>
      <c r="ID81" s="14"/>
      <c r="IE81" s="14"/>
      <c r="IF81" s="14"/>
      <c r="IG81" s="14"/>
      <c r="IH81" s="14"/>
      <c r="II81" s="14"/>
      <c r="IJ81" s="14"/>
      <c r="IK81" s="14"/>
      <c r="IL81" s="14"/>
      <c r="IM81" s="14"/>
      <c r="IN81" s="14"/>
      <c r="IO81" s="14"/>
      <c r="IP81" s="14"/>
      <c r="IQ81" s="14"/>
      <c r="IR81" s="14"/>
      <c r="IS81" s="14"/>
      <c r="IT81" s="14"/>
      <c r="IU81" s="14"/>
      <c r="IV81" s="14"/>
    </row>
    <row r="82" spans="2:256" ht="30" customHeight="1" x14ac:dyDescent="0.25">
      <c r="B82" s="14">
        <v>141060</v>
      </c>
      <c r="C82" s="143">
        <v>313400.42</v>
      </c>
      <c r="D82" s="103" t="s">
        <v>299</v>
      </c>
      <c r="E82" s="104">
        <v>200000</v>
      </c>
      <c r="F82" s="105"/>
      <c r="G82" s="126">
        <v>316082</v>
      </c>
      <c r="H82" s="104">
        <v>210000</v>
      </c>
      <c r="I82" s="104">
        <f>4/3</f>
        <v>1.3333333333333333</v>
      </c>
      <c r="J82" s="154"/>
      <c r="K82" s="107">
        <v>250000</v>
      </c>
      <c r="L82" s="107">
        <v>169783</v>
      </c>
      <c r="M82" s="107">
        <v>218746</v>
      </c>
      <c r="N82" s="108"/>
      <c r="O82" s="109">
        <f>M82*4/3</f>
        <v>291661.33333333331</v>
      </c>
      <c r="P82" s="109">
        <v>197000</v>
      </c>
      <c r="Q82" s="109">
        <f>P82/8*4</f>
        <v>98500</v>
      </c>
      <c r="R82" s="107">
        <v>300000</v>
      </c>
      <c r="S82" s="107">
        <v>300000</v>
      </c>
      <c r="T82" s="107">
        <f t="shared" si="25"/>
        <v>295500</v>
      </c>
      <c r="U82" s="107">
        <v>300000</v>
      </c>
      <c r="V82" s="107">
        <v>227020.7</v>
      </c>
      <c r="W82" s="107">
        <f t="shared" si="30"/>
        <v>454041.4</v>
      </c>
      <c r="X82" s="110">
        <v>450000</v>
      </c>
      <c r="Y82" s="107">
        <v>262865</v>
      </c>
      <c r="Z82" s="107">
        <f t="shared" si="28"/>
        <v>315438</v>
      </c>
      <c r="AA82" s="110">
        <v>450000</v>
      </c>
      <c r="AB82" s="110">
        <v>256623</v>
      </c>
      <c r="AC82" s="110">
        <v>308000</v>
      </c>
      <c r="AD82" s="108">
        <f t="shared" si="27"/>
        <v>308000</v>
      </c>
      <c r="AE82" s="107">
        <v>300000</v>
      </c>
      <c r="AF82" s="107">
        <v>300000</v>
      </c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36"/>
      <c r="CN82" s="36"/>
      <c r="CO82" s="36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  <c r="GS82" s="14"/>
      <c r="GT82" s="14"/>
      <c r="GU82" s="14"/>
      <c r="GV82" s="14"/>
      <c r="GW82" s="14"/>
      <c r="GX82" s="14"/>
      <c r="GY82" s="14"/>
      <c r="GZ82" s="14"/>
      <c r="HA82" s="14"/>
      <c r="HB82" s="14"/>
      <c r="HC82" s="14"/>
      <c r="HD82" s="14"/>
      <c r="HE82" s="14"/>
      <c r="HF82" s="14"/>
      <c r="HG82" s="14"/>
      <c r="HH82" s="14"/>
      <c r="HI82" s="14"/>
      <c r="HJ82" s="14"/>
      <c r="HK82" s="14"/>
      <c r="HL82" s="14"/>
      <c r="HM82" s="14"/>
      <c r="HN82" s="14"/>
      <c r="HO82" s="14"/>
      <c r="HP82" s="14"/>
      <c r="HQ82" s="14"/>
      <c r="HR82" s="14"/>
      <c r="HS82" s="14"/>
      <c r="HT82" s="14"/>
      <c r="HU82" s="14"/>
      <c r="HV82" s="14"/>
      <c r="HW82" s="14"/>
      <c r="HX82" s="14"/>
      <c r="HY82" s="14"/>
      <c r="HZ82" s="14"/>
      <c r="IA82" s="14"/>
      <c r="IB82" s="14"/>
      <c r="IC82" s="14"/>
      <c r="ID82" s="14"/>
      <c r="IE82" s="14"/>
      <c r="IF82" s="14"/>
      <c r="IG82" s="14"/>
      <c r="IH82" s="14"/>
      <c r="II82" s="14"/>
      <c r="IJ82" s="14"/>
      <c r="IK82" s="14"/>
      <c r="IL82" s="14"/>
      <c r="IM82" s="14"/>
      <c r="IN82" s="14"/>
      <c r="IO82" s="14"/>
      <c r="IP82" s="14"/>
      <c r="IQ82" s="14"/>
      <c r="IR82" s="14"/>
      <c r="IS82" s="14"/>
      <c r="IT82" s="14"/>
      <c r="IU82" s="14"/>
      <c r="IV82" s="14"/>
    </row>
    <row r="83" spans="2:256" ht="30" customHeight="1" x14ac:dyDescent="0.25">
      <c r="B83" s="14"/>
      <c r="C83" s="143">
        <v>313400.92</v>
      </c>
      <c r="D83" s="144" t="s">
        <v>614</v>
      </c>
      <c r="E83" s="146"/>
      <c r="F83" s="105"/>
      <c r="G83" s="105"/>
      <c r="H83" s="146"/>
      <c r="I83" s="146"/>
      <c r="J83" s="158"/>
      <c r="K83" s="148"/>
      <c r="L83" s="148"/>
      <c r="M83" s="148"/>
      <c r="N83" s="109"/>
      <c r="O83" s="109"/>
      <c r="P83" s="109"/>
      <c r="Q83" s="109"/>
      <c r="R83" s="148"/>
      <c r="S83" s="148"/>
      <c r="T83" s="148"/>
      <c r="U83" s="148"/>
      <c r="V83" s="148"/>
      <c r="W83" s="148"/>
      <c r="X83" s="149"/>
      <c r="Y83" s="148"/>
      <c r="Z83" s="148">
        <f t="shared" si="28"/>
        <v>0</v>
      </c>
      <c r="AA83" s="149">
        <v>72000</v>
      </c>
      <c r="AB83" s="110"/>
      <c r="AC83" s="110">
        <v>72000</v>
      </c>
      <c r="AD83" s="108">
        <f t="shared" si="27"/>
        <v>72000</v>
      </c>
      <c r="AE83" s="107">
        <v>3000</v>
      </c>
      <c r="AF83" s="107">
        <v>3000</v>
      </c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36"/>
      <c r="CN83" s="36"/>
      <c r="CO83" s="36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  <c r="GS83" s="14"/>
      <c r="GT83" s="14"/>
      <c r="GU83" s="14"/>
      <c r="GV83" s="14"/>
      <c r="GW83" s="14"/>
      <c r="GX83" s="14"/>
      <c r="GY83" s="14"/>
      <c r="GZ83" s="14"/>
      <c r="HA83" s="14"/>
      <c r="HB83" s="14"/>
      <c r="HC83" s="14"/>
      <c r="HD83" s="14"/>
      <c r="HE83" s="14"/>
      <c r="HF83" s="14"/>
      <c r="HG83" s="14"/>
      <c r="HH83" s="14"/>
      <c r="HI83" s="14"/>
      <c r="HJ83" s="14"/>
      <c r="HK83" s="14"/>
      <c r="HL83" s="14"/>
      <c r="HM83" s="14"/>
      <c r="HN83" s="14"/>
      <c r="HO83" s="14"/>
      <c r="HP83" s="14"/>
      <c r="HQ83" s="14"/>
      <c r="HR83" s="14"/>
      <c r="HS83" s="14"/>
      <c r="HT83" s="14"/>
      <c r="HU83" s="14"/>
      <c r="HV83" s="14"/>
      <c r="HW83" s="14"/>
      <c r="HX83" s="14"/>
      <c r="HY83" s="14"/>
      <c r="HZ83" s="14"/>
      <c r="IA83" s="14"/>
      <c r="IB83" s="14"/>
      <c r="IC83" s="14"/>
      <c r="ID83" s="14"/>
      <c r="IE83" s="14"/>
      <c r="IF83" s="14"/>
      <c r="IG83" s="14"/>
      <c r="IH83" s="14"/>
      <c r="II83" s="14"/>
      <c r="IJ83" s="14"/>
      <c r="IK83" s="14"/>
      <c r="IL83" s="14"/>
      <c r="IM83" s="14"/>
      <c r="IN83" s="14"/>
      <c r="IO83" s="14"/>
      <c r="IP83" s="14"/>
      <c r="IQ83" s="14"/>
      <c r="IR83" s="14"/>
      <c r="IS83" s="14"/>
      <c r="IT83" s="14"/>
      <c r="IU83" s="14"/>
      <c r="IV83" s="14"/>
    </row>
    <row r="84" spans="2:256" ht="30" customHeight="1" x14ac:dyDescent="0.25">
      <c r="B84" s="14"/>
      <c r="C84" s="143">
        <v>313502.92</v>
      </c>
      <c r="D84" s="103" t="s">
        <v>582</v>
      </c>
      <c r="E84" s="104"/>
      <c r="F84" s="105"/>
      <c r="G84" s="126"/>
      <c r="H84" s="104"/>
      <c r="I84" s="104"/>
      <c r="J84" s="154"/>
      <c r="K84" s="107"/>
      <c r="L84" s="107"/>
      <c r="M84" s="107"/>
      <c r="N84" s="108"/>
      <c r="O84" s="109"/>
      <c r="P84" s="109"/>
      <c r="Q84" s="109"/>
      <c r="R84" s="107"/>
      <c r="S84" s="107"/>
      <c r="T84" s="107">
        <f t="shared" si="25"/>
        <v>0</v>
      </c>
      <c r="U84" s="107">
        <v>35792</v>
      </c>
      <c r="V84" s="107">
        <v>36817.1</v>
      </c>
      <c r="W84" s="107">
        <f t="shared" si="30"/>
        <v>73634.2</v>
      </c>
      <c r="X84" s="110">
        <v>75000</v>
      </c>
      <c r="Y84" s="107">
        <v>38648</v>
      </c>
      <c r="Z84" s="107">
        <f t="shared" si="28"/>
        <v>46377.599999999999</v>
      </c>
      <c r="AA84" s="110">
        <v>60000</v>
      </c>
      <c r="AB84" s="110">
        <v>23162</v>
      </c>
      <c r="AC84" s="110">
        <v>28000</v>
      </c>
      <c r="AD84" s="108">
        <f t="shared" si="27"/>
        <v>28000</v>
      </c>
      <c r="AE84" s="107">
        <v>198000</v>
      </c>
      <c r="AF84" s="107">
        <v>198000</v>
      </c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36"/>
      <c r="CN84" s="36"/>
      <c r="CO84" s="36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  <c r="GS84" s="14"/>
      <c r="GT84" s="14"/>
      <c r="GU84" s="14"/>
      <c r="GV84" s="14"/>
      <c r="GW84" s="14"/>
      <c r="GX84" s="14"/>
      <c r="GY84" s="14"/>
      <c r="GZ84" s="14"/>
      <c r="HA84" s="14"/>
      <c r="HB84" s="14"/>
      <c r="HC84" s="14"/>
      <c r="HD84" s="14"/>
      <c r="HE84" s="14"/>
      <c r="HF84" s="14"/>
      <c r="HG84" s="14"/>
      <c r="HH84" s="14"/>
      <c r="HI84" s="14"/>
      <c r="HJ84" s="14"/>
      <c r="HK84" s="14"/>
      <c r="HL84" s="14"/>
      <c r="HM84" s="14"/>
      <c r="HN84" s="14"/>
      <c r="HO84" s="14"/>
      <c r="HP84" s="14"/>
      <c r="HQ84" s="14"/>
      <c r="HR84" s="14"/>
      <c r="HS84" s="14"/>
      <c r="HT84" s="14"/>
      <c r="HU84" s="14"/>
      <c r="HV84" s="14"/>
      <c r="HW84" s="14"/>
      <c r="HX84" s="14"/>
      <c r="HY84" s="14"/>
      <c r="HZ84" s="14"/>
      <c r="IA84" s="14"/>
      <c r="IB84" s="14"/>
      <c r="IC84" s="14"/>
      <c r="ID84" s="14"/>
      <c r="IE84" s="14"/>
      <c r="IF84" s="14"/>
      <c r="IG84" s="14"/>
      <c r="IH84" s="14"/>
      <c r="II84" s="14"/>
      <c r="IJ84" s="14"/>
      <c r="IK84" s="14"/>
      <c r="IL84" s="14"/>
      <c r="IM84" s="14"/>
      <c r="IN84" s="14"/>
      <c r="IO84" s="14"/>
      <c r="IP84" s="14"/>
      <c r="IQ84" s="14"/>
      <c r="IR84" s="14"/>
      <c r="IS84" s="14"/>
      <c r="IT84" s="14"/>
      <c r="IU84" s="14"/>
      <c r="IV84" s="14"/>
    </row>
    <row r="85" spans="2:256" ht="30" customHeight="1" x14ac:dyDescent="0.25">
      <c r="B85" s="14"/>
      <c r="C85" s="143">
        <v>313536.92</v>
      </c>
      <c r="D85" s="103" t="s">
        <v>583</v>
      </c>
      <c r="E85" s="104"/>
      <c r="F85" s="105"/>
      <c r="G85" s="126"/>
      <c r="H85" s="104"/>
      <c r="I85" s="104"/>
      <c r="J85" s="154"/>
      <c r="K85" s="107"/>
      <c r="L85" s="107"/>
      <c r="M85" s="107"/>
      <c r="N85" s="108"/>
      <c r="O85" s="109"/>
      <c r="P85" s="109"/>
      <c r="Q85" s="109"/>
      <c r="R85" s="107"/>
      <c r="S85" s="107"/>
      <c r="T85" s="107">
        <f t="shared" si="25"/>
        <v>0</v>
      </c>
      <c r="U85" s="107">
        <v>456000</v>
      </c>
      <c r="V85" s="107">
        <v>233300</v>
      </c>
      <c r="W85" s="107">
        <f t="shared" si="30"/>
        <v>466600</v>
      </c>
      <c r="X85" s="110">
        <v>470000</v>
      </c>
      <c r="Y85" s="107">
        <v>295911</v>
      </c>
      <c r="Z85" s="107">
        <f t="shared" si="28"/>
        <v>355093.2</v>
      </c>
      <c r="AA85" s="110">
        <v>480000</v>
      </c>
      <c r="AB85" s="110">
        <f>182240+64600</f>
        <v>246840</v>
      </c>
      <c r="AC85" s="110">
        <f>182000+300000</f>
        <v>482000</v>
      </c>
      <c r="AD85" s="108">
        <f t="shared" si="27"/>
        <v>482000</v>
      </c>
      <c r="AE85" s="107">
        <v>73000</v>
      </c>
      <c r="AF85" s="107"/>
      <c r="AG85" s="16" t="s">
        <v>699</v>
      </c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36"/>
      <c r="CN85" s="36"/>
      <c r="CO85" s="36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  <c r="GS85" s="14"/>
      <c r="GT85" s="14"/>
      <c r="GU85" s="14"/>
      <c r="GV85" s="14"/>
      <c r="GW85" s="14"/>
      <c r="GX85" s="14"/>
      <c r="GY85" s="14"/>
      <c r="GZ85" s="14"/>
      <c r="HA85" s="14"/>
      <c r="HB85" s="14"/>
      <c r="HC85" s="14"/>
      <c r="HD85" s="14"/>
      <c r="HE85" s="14"/>
      <c r="HF85" s="14"/>
      <c r="HG85" s="14"/>
      <c r="HH85" s="14"/>
      <c r="HI85" s="14"/>
      <c r="HJ85" s="14"/>
      <c r="HK85" s="14"/>
      <c r="HL85" s="14"/>
      <c r="HM85" s="14"/>
      <c r="HN85" s="14"/>
      <c r="HO85" s="14"/>
      <c r="HP85" s="14"/>
      <c r="HQ85" s="14"/>
      <c r="HR85" s="14"/>
      <c r="HS85" s="14"/>
      <c r="HT85" s="14"/>
      <c r="HU85" s="14"/>
      <c r="HV85" s="14"/>
      <c r="HW85" s="14"/>
      <c r="HX85" s="14"/>
      <c r="HY85" s="14"/>
      <c r="HZ85" s="14"/>
      <c r="IA85" s="14"/>
      <c r="IB85" s="14"/>
      <c r="IC85" s="14"/>
      <c r="ID85" s="14"/>
      <c r="IE85" s="14"/>
      <c r="IF85" s="14"/>
      <c r="IG85" s="14"/>
      <c r="IH85" s="14"/>
      <c r="II85" s="14"/>
      <c r="IJ85" s="14"/>
      <c r="IK85" s="14"/>
      <c r="IL85" s="14"/>
      <c r="IM85" s="14"/>
      <c r="IN85" s="14"/>
      <c r="IO85" s="14"/>
      <c r="IP85" s="14"/>
      <c r="IQ85" s="14"/>
      <c r="IR85" s="14"/>
      <c r="IS85" s="14"/>
      <c r="IT85" s="14"/>
      <c r="IU85" s="14"/>
      <c r="IV85" s="14"/>
    </row>
    <row r="86" spans="2:256" ht="30" customHeight="1" x14ac:dyDescent="0.25">
      <c r="B86" s="14">
        <v>94244</v>
      </c>
      <c r="C86" s="143">
        <v>313700.92</v>
      </c>
      <c r="D86" s="144" t="s">
        <v>342</v>
      </c>
      <c r="E86" s="104">
        <v>200000</v>
      </c>
      <c r="F86" s="105"/>
      <c r="G86" s="126">
        <v>153306</v>
      </c>
      <c r="H86" s="104">
        <v>200000</v>
      </c>
      <c r="I86" s="104">
        <f>4/3</f>
        <v>1.3333333333333333</v>
      </c>
      <c r="J86" s="154"/>
      <c r="K86" s="107">
        <v>167000</v>
      </c>
      <c r="L86" s="107">
        <v>125055</v>
      </c>
      <c r="M86" s="107">
        <v>129225</v>
      </c>
      <c r="N86" s="108"/>
      <c r="O86" s="109">
        <f>M86*4/3</f>
        <v>172300</v>
      </c>
      <c r="P86" s="109">
        <v>109000</v>
      </c>
      <c r="Q86" s="109">
        <f>P86/7*5</f>
        <v>77857.142857142855</v>
      </c>
      <c r="R86" s="107">
        <v>170000</v>
      </c>
      <c r="S86" s="107">
        <v>177000</v>
      </c>
      <c r="T86" s="107">
        <f t="shared" si="25"/>
        <v>186857.14285714284</v>
      </c>
      <c r="U86" s="107">
        <v>0</v>
      </c>
      <c r="V86" s="107">
        <v>17000.3</v>
      </c>
      <c r="W86" s="107">
        <f t="shared" si="30"/>
        <v>34000.6</v>
      </c>
      <c r="X86" s="110">
        <v>35000</v>
      </c>
      <c r="Y86" s="107">
        <v>17000</v>
      </c>
      <c r="Z86" s="107">
        <f t="shared" si="28"/>
        <v>20400</v>
      </c>
      <c r="AA86" s="110">
        <v>240000</v>
      </c>
      <c r="AB86" s="110">
        <v>111069</v>
      </c>
      <c r="AC86" s="110">
        <v>111000</v>
      </c>
      <c r="AD86" s="108">
        <f t="shared" si="27"/>
        <v>111000</v>
      </c>
      <c r="AE86" s="107">
        <v>30000</v>
      </c>
      <c r="AF86" s="107">
        <v>30000</v>
      </c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36"/>
      <c r="CN86" s="36"/>
      <c r="CO86" s="36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  <c r="GS86" s="14"/>
      <c r="GT86" s="14"/>
      <c r="GU86" s="14"/>
      <c r="GV86" s="14"/>
      <c r="GW86" s="14"/>
      <c r="GX86" s="14"/>
      <c r="GY86" s="14"/>
      <c r="GZ86" s="14"/>
      <c r="HA86" s="14"/>
      <c r="HB86" s="14"/>
      <c r="HC86" s="14"/>
      <c r="HD86" s="14"/>
      <c r="HE86" s="14"/>
      <c r="HF86" s="14"/>
      <c r="HG86" s="14"/>
      <c r="HH86" s="14"/>
      <c r="HI86" s="14"/>
      <c r="HJ86" s="14"/>
      <c r="HK86" s="14"/>
      <c r="HL86" s="14"/>
      <c r="HM86" s="14"/>
      <c r="HN86" s="14"/>
      <c r="HO86" s="14"/>
      <c r="HP86" s="14"/>
      <c r="HQ86" s="14"/>
      <c r="HR86" s="14"/>
      <c r="HS86" s="14"/>
      <c r="HT86" s="14"/>
      <c r="HU86" s="14"/>
      <c r="HV86" s="14"/>
      <c r="HW86" s="14"/>
      <c r="HX86" s="14"/>
      <c r="HY86" s="14"/>
      <c r="HZ86" s="14"/>
      <c r="IA86" s="14"/>
      <c r="IB86" s="14"/>
      <c r="IC86" s="14"/>
      <c r="ID86" s="14"/>
      <c r="IE86" s="14"/>
      <c r="IF86" s="14"/>
      <c r="IG86" s="14"/>
      <c r="IH86" s="14"/>
      <c r="II86" s="14"/>
      <c r="IJ86" s="14"/>
      <c r="IK86" s="14"/>
      <c r="IL86" s="14"/>
      <c r="IM86" s="14"/>
      <c r="IN86" s="14"/>
      <c r="IO86" s="14"/>
      <c r="IP86" s="14"/>
      <c r="IQ86" s="14"/>
      <c r="IR86" s="14"/>
      <c r="IS86" s="14"/>
      <c r="IT86" s="14"/>
      <c r="IU86" s="14"/>
      <c r="IV86" s="14"/>
    </row>
    <row r="87" spans="2:256" ht="30" customHeight="1" x14ac:dyDescent="0.25">
      <c r="B87" s="14"/>
      <c r="C87" s="143">
        <v>313800.92</v>
      </c>
      <c r="D87" s="144" t="s">
        <v>635</v>
      </c>
      <c r="E87" s="104"/>
      <c r="F87" s="105"/>
      <c r="G87" s="126"/>
      <c r="H87" s="104"/>
      <c r="I87" s="104"/>
      <c r="J87" s="154"/>
      <c r="K87" s="107"/>
      <c r="L87" s="107"/>
      <c r="M87" s="107"/>
      <c r="N87" s="108"/>
      <c r="O87" s="109"/>
      <c r="P87" s="109"/>
      <c r="Q87" s="109"/>
      <c r="R87" s="107"/>
      <c r="S87" s="107"/>
      <c r="T87" s="107"/>
      <c r="U87" s="107"/>
      <c r="V87" s="107"/>
      <c r="W87" s="107"/>
      <c r="X87" s="110"/>
      <c r="Y87" s="107"/>
      <c r="Z87" s="107"/>
      <c r="AA87" s="110"/>
      <c r="AB87" s="110">
        <f>822114+49361+9759+357813</f>
        <v>1239047</v>
      </c>
      <c r="AC87" s="110">
        <v>1239000</v>
      </c>
      <c r="AD87" s="108">
        <f t="shared" si="27"/>
        <v>1239000</v>
      </c>
      <c r="AE87" s="107">
        <v>850000</v>
      </c>
      <c r="AF87" s="107">
        <v>850000</v>
      </c>
      <c r="AG87" s="16" t="s">
        <v>699</v>
      </c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36"/>
      <c r="CN87" s="36"/>
      <c r="CO87" s="36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  <c r="GS87" s="14"/>
      <c r="GT87" s="14"/>
      <c r="GU87" s="14"/>
      <c r="GV87" s="14"/>
      <c r="GW87" s="14"/>
      <c r="GX87" s="14"/>
      <c r="GY87" s="14"/>
      <c r="GZ87" s="14"/>
      <c r="HA87" s="14"/>
      <c r="HB87" s="14"/>
      <c r="HC87" s="14"/>
      <c r="HD87" s="14"/>
      <c r="HE87" s="14"/>
      <c r="HF87" s="14"/>
      <c r="HG87" s="14"/>
      <c r="HH87" s="14"/>
      <c r="HI87" s="14"/>
      <c r="HJ87" s="14"/>
      <c r="HK87" s="14"/>
      <c r="HL87" s="14"/>
      <c r="HM87" s="14"/>
      <c r="HN87" s="14"/>
      <c r="HO87" s="14"/>
      <c r="HP87" s="14"/>
      <c r="HQ87" s="14"/>
      <c r="HR87" s="14"/>
      <c r="HS87" s="14"/>
      <c r="HT87" s="14"/>
      <c r="HU87" s="14"/>
      <c r="HV87" s="14"/>
      <c r="HW87" s="14"/>
      <c r="HX87" s="14"/>
      <c r="HY87" s="14"/>
      <c r="HZ87" s="14"/>
      <c r="IA87" s="14"/>
      <c r="IB87" s="14"/>
      <c r="IC87" s="14"/>
      <c r="ID87" s="14"/>
      <c r="IE87" s="14"/>
      <c r="IF87" s="14"/>
      <c r="IG87" s="14"/>
      <c r="IH87" s="14"/>
      <c r="II87" s="14"/>
      <c r="IJ87" s="14"/>
      <c r="IK87" s="14"/>
      <c r="IL87" s="14"/>
      <c r="IM87" s="14"/>
      <c r="IN87" s="14"/>
      <c r="IO87" s="14"/>
      <c r="IP87" s="14"/>
      <c r="IQ87" s="14"/>
      <c r="IR87" s="14"/>
      <c r="IS87" s="14"/>
      <c r="IT87" s="14"/>
      <c r="IU87" s="14"/>
      <c r="IV87" s="14"/>
    </row>
    <row r="88" spans="2:256" ht="30" customHeight="1" x14ac:dyDescent="0.25">
      <c r="B88" s="14"/>
      <c r="C88" s="102"/>
      <c r="D88" s="103"/>
      <c r="E88" s="104"/>
      <c r="F88" s="105"/>
      <c r="G88" s="160"/>
      <c r="H88" s="104"/>
      <c r="I88" s="104">
        <f>4/3</f>
        <v>1.3333333333333333</v>
      </c>
      <c r="J88" s="154"/>
      <c r="K88" s="107"/>
      <c r="L88" s="107"/>
      <c r="M88" s="107"/>
      <c r="N88" s="108"/>
      <c r="O88" s="109"/>
      <c r="P88" s="109"/>
      <c r="Q88" s="109"/>
      <c r="R88" s="107"/>
      <c r="S88" s="107"/>
      <c r="T88" s="107"/>
      <c r="U88" s="107"/>
      <c r="V88" s="107"/>
      <c r="W88" s="107"/>
      <c r="X88" s="110"/>
      <c r="Y88" s="107"/>
      <c r="Z88" s="107">
        <f t="shared" si="28"/>
        <v>0</v>
      </c>
      <c r="AA88" s="110"/>
      <c r="AB88" s="110"/>
      <c r="AC88" s="110"/>
      <c r="AD88" s="108"/>
      <c r="AE88" s="107"/>
      <c r="AF88" s="107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36"/>
      <c r="CN88" s="36"/>
      <c r="CO88" s="36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  <c r="GS88" s="14"/>
      <c r="GT88" s="14"/>
      <c r="GU88" s="14"/>
      <c r="GV88" s="14"/>
      <c r="GW88" s="14"/>
      <c r="GX88" s="14"/>
      <c r="GY88" s="14"/>
      <c r="GZ88" s="14"/>
      <c r="HA88" s="14"/>
      <c r="HB88" s="14"/>
      <c r="HC88" s="14"/>
      <c r="HD88" s="14"/>
      <c r="HE88" s="14"/>
      <c r="HF88" s="14"/>
      <c r="HG88" s="14"/>
      <c r="HH88" s="14"/>
      <c r="HI88" s="14"/>
      <c r="HJ88" s="14"/>
      <c r="HK88" s="14"/>
      <c r="HL88" s="14"/>
      <c r="HM88" s="14"/>
      <c r="HN88" s="14"/>
      <c r="HO88" s="14"/>
      <c r="HP88" s="14"/>
      <c r="HQ88" s="14"/>
      <c r="HR88" s="14"/>
      <c r="HS88" s="14"/>
      <c r="HT88" s="14"/>
      <c r="HU88" s="14"/>
      <c r="HV88" s="14"/>
      <c r="HW88" s="14"/>
      <c r="HX88" s="14"/>
      <c r="HY88" s="14"/>
      <c r="HZ88" s="14"/>
      <c r="IA88" s="14"/>
      <c r="IB88" s="14"/>
      <c r="IC88" s="14"/>
      <c r="ID88" s="14"/>
      <c r="IE88" s="14"/>
      <c r="IF88" s="14"/>
      <c r="IG88" s="14"/>
      <c r="IH88" s="14"/>
      <c r="II88" s="14"/>
      <c r="IJ88" s="14"/>
      <c r="IK88" s="14"/>
      <c r="IL88" s="14"/>
      <c r="IM88" s="14"/>
      <c r="IN88" s="14"/>
      <c r="IO88" s="14"/>
      <c r="IP88" s="14"/>
      <c r="IQ88" s="14"/>
      <c r="IR88" s="14"/>
      <c r="IS88" s="14"/>
      <c r="IT88" s="14"/>
      <c r="IU88" s="14"/>
      <c r="IV88" s="14"/>
    </row>
    <row r="89" spans="2:256" ht="30" customHeight="1" x14ac:dyDescent="0.25">
      <c r="B89" s="14"/>
      <c r="C89" s="131" t="s">
        <v>277</v>
      </c>
      <c r="D89" s="114" t="s">
        <v>5</v>
      </c>
      <c r="E89" s="115">
        <f>SUM(E67:E88)</f>
        <v>970000</v>
      </c>
      <c r="F89" s="115">
        <f>SUM(F67:F86)</f>
        <v>0</v>
      </c>
      <c r="G89" s="115">
        <f>SUM(G67:G88)</f>
        <v>732494</v>
      </c>
      <c r="H89" s="115">
        <f>SUM(H67:H88)</f>
        <v>860000</v>
      </c>
      <c r="I89" s="104">
        <f>4/3</f>
        <v>1.3333333333333333</v>
      </c>
      <c r="J89" s="154"/>
      <c r="K89" s="117">
        <f t="shared" ref="K89:Q89" si="31">SUM(K67:K88)</f>
        <v>767000</v>
      </c>
      <c r="L89" s="117">
        <f t="shared" si="31"/>
        <v>418643</v>
      </c>
      <c r="M89" s="117">
        <f t="shared" si="31"/>
        <v>522745</v>
      </c>
      <c r="N89" s="117">
        <f t="shared" si="31"/>
        <v>0</v>
      </c>
      <c r="O89" s="118">
        <f t="shared" si="31"/>
        <v>749706.66666666674</v>
      </c>
      <c r="P89" s="118">
        <f t="shared" si="31"/>
        <v>361000</v>
      </c>
      <c r="Q89" s="118">
        <f t="shared" si="31"/>
        <v>229928.57142857142</v>
      </c>
      <c r="R89" s="117">
        <f t="shared" ref="R89:X89" si="32">SUM(R60:R88)</f>
        <v>820000</v>
      </c>
      <c r="S89" s="117">
        <f t="shared" si="32"/>
        <v>827000</v>
      </c>
      <c r="T89" s="117">
        <f t="shared" si="32"/>
        <v>590928.57142857136</v>
      </c>
      <c r="U89" s="117">
        <f t="shared" si="32"/>
        <v>8958358</v>
      </c>
      <c r="V89" s="117">
        <f t="shared" si="32"/>
        <v>4737520.7799999984</v>
      </c>
      <c r="W89" s="117">
        <f t="shared" si="32"/>
        <v>9475041.5599999968</v>
      </c>
      <c r="X89" s="117">
        <f t="shared" si="32"/>
        <v>9692476.2599999979</v>
      </c>
      <c r="Y89" s="117">
        <f t="shared" ref="Y89:AF89" si="33">SUM(Y60:Y88)</f>
        <v>5606627</v>
      </c>
      <c r="Z89" s="117">
        <f t="shared" si="33"/>
        <v>6727952.4000000022</v>
      </c>
      <c r="AA89" s="117">
        <f t="shared" si="33"/>
        <v>8508947</v>
      </c>
      <c r="AB89" s="117">
        <f t="shared" si="33"/>
        <v>8144895</v>
      </c>
      <c r="AC89" s="117">
        <f t="shared" si="33"/>
        <v>10155000</v>
      </c>
      <c r="AD89" s="117">
        <f t="shared" si="33"/>
        <v>10155000</v>
      </c>
      <c r="AE89" s="117">
        <f t="shared" si="33"/>
        <v>10831000</v>
      </c>
      <c r="AF89" s="117">
        <f t="shared" si="33"/>
        <v>10871000</v>
      </c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36"/>
      <c r="CN89" s="36"/>
      <c r="CO89" s="36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  <c r="GS89" s="14"/>
      <c r="GT89" s="14"/>
      <c r="GU89" s="14"/>
      <c r="GV89" s="14"/>
      <c r="GW89" s="14"/>
      <c r="GX89" s="14"/>
      <c r="GY89" s="14"/>
      <c r="GZ89" s="14"/>
      <c r="HA89" s="14"/>
      <c r="HB89" s="14"/>
      <c r="HC89" s="14"/>
      <c r="HD89" s="14"/>
      <c r="HE89" s="14"/>
      <c r="HF89" s="14"/>
      <c r="HG89" s="14"/>
      <c r="HH89" s="14"/>
      <c r="HI89" s="14"/>
      <c r="HJ89" s="14"/>
      <c r="HK89" s="14"/>
      <c r="HL89" s="14"/>
      <c r="HM89" s="14"/>
      <c r="HN89" s="14"/>
      <c r="HO89" s="14"/>
      <c r="HP89" s="14"/>
      <c r="HQ89" s="14"/>
      <c r="HR89" s="14"/>
      <c r="HS89" s="14"/>
      <c r="HT89" s="14"/>
      <c r="HU89" s="14"/>
      <c r="HV89" s="14"/>
      <c r="HW89" s="14"/>
      <c r="HX89" s="14"/>
      <c r="HY89" s="14"/>
      <c r="HZ89" s="14"/>
      <c r="IA89" s="14"/>
      <c r="IB89" s="14"/>
      <c r="IC89" s="14"/>
      <c r="ID89" s="14"/>
      <c r="IE89" s="14"/>
      <c r="IF89" s="14"/>
      <c r="IG89" s="14"/>
      <c r="IH89" s="14"/>
      <c r="II89" s="14"/>
      <c r="IJ89" s="14"/>
      <c r="IK89" s="14"/>
      <c r="IL89" s="14"/>
      <c r="IM89" s="14"/>
      <c r="IN89" s="14"/>
      <c r="IO89" s="14"/>
      <c r="IP89" s="14"/>
      <c r="IQ89" s="14"/>
      <c r="IR89" s="14"/>
      <c r="IS89" s="14"/>
      <c r="IT89" s="14"/>
      <c r="IU89" s="14"/>
      <c r="IV89" s="14"/>
    </row>
    <row r="90" spans="2:256" ht="30" customHeight="1" x14ac:dyDescent="0.25">
      <c r="B90" s="14"/>
      <c r="C90" s="102"/>
      <c r="D90" s="103"/>
      <c r="E90" s="104"/>
      <c r="F90" s="105"/>
      <c r="G90" s="126"/>
      <c r="H90" s="104"/>
      <c r="I90" s="104"/>
      <c r="J90" s="154"/>
      <c r="K90" s="107"/>
      <c r="L90" s="107"/>
      <c r="M90" s="107"/>
      <c r="N90" s="108"/>
      <c r="O90" s="109"/>
      <c r="P90" s="109"/>
      <c r="Q90" s="109"/>
      <c r="R90" s="107"/>
      <c r="S90" s="107"/>
      <c r="T90" s="107"/>
      <c r="U90" s="107"/>
      <c r="V90" s="107"/>
      <c r="W90" s="107"/>
      <c r="X90" s="110"/>
      <c r="Y90" s="107"/>
      <c r="Z90" s="107"/>
      <c r="AA90" s="110"/>
      <c r="AB90" s="110"/>
      <c r="AC90" s="110"/>
      <c r="AD90" s="110"/>
      <c r="AE90" s="159"/>
      <c r="AF90" s="159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  <c r="GS90" s="14"/>
      <c r="GT90" s="14"/>
      <c r="GU90" s="14"/>
      <c r="GV90" s="14"/>
      <c r="GW90" s="14"/>
      <c r="GX90" s="14"/>
      <c r="GY90" s="14"/>
      <c r="GZ90" s="14"/>
      <c r="HA90" s="14"/>
      <c r="HB90" s="14"/>
      <c r="HC90" s="14"/>
      <c r="HD90" s="14"/>
      <c r="HE90" s="14"/>
      <c r="HF90" s="14"/>
      <c r="HG90" s="14"/>
      <c r="HH90" s="14"/>
      <c r="HI90" s="14"/>
      <c r="HJ90" s="14"/>
      <c r="HK90" s="14"/>
      <c r="HL90" s="14"/>
      <c r="HM90" s="14"/>
      <c r="HN90" s="14"/>
      <c r="HO90" s="14"/>
      <c r="HP90" s="14"/>
      <c r="HQ90" s="14"/>
      <c r="HR90" s="14"/>
      <c r="HS90" s="14"/>
      <c r="HT90" s="14"/>
      <c r="HU90" s="14"/>
      <c r="HV90" s="14"/>
      <c r="HW90" s="14"/>
      <c r="HX90" s="14"/>
      <c r="HY90" s="14"/>
      <c r="HZ90" s="14"/>
      <c r="IA90" s="14"/>
      <c r="IB90" s="14"/>
      <c r="IC90" s="14"/>
      <c r="ID90" s="14"/>
      <c r="IE90" s="14"/>
      <c r="IF90" s="14"/>
      <c r="IG90" s="14"/>
      <c r="IH90" s="14"/>
      <c r="II90" s="14"/>
      <c r="IJ90" s="14"/>
      <c r="IK90" s="14"/>
      <c r="IL90" s="14"/>
      <c r="IM90" s="14"/>
      <c r="IN90" s="14"/>
      <c r="IO90" s="14"/>
      <c r="IP90" s="14"/>
      <c r="IQ90" s="14"/>
      <c r="IR90" s="14"/>
      <c r="IS90" s="14"/>
      <c r="IT90" s="14"/>
      <c r="IU90" s="14"/>
      <c r="IV90" s="14"/>
    </row>
    <row r="91" spans="2:256" ht="30" customHeight="1" x14ac:dyDescent="0.25">
      <c r="B91" s="14"/>
      <c r="C91" s="102">
        <v>314085.92</v>
      </c>
      <c r="D91" s="103" t="s">
        <v>543</v>
      </c>
      <c r="E91" s="104"/>
      <c r="F91" s="105"/>
      <c r="G91" s="126"/>
      <c r="H91" s="104"/>
      <c r="I91" s="104"/>
      <c r="J91" s="154"/>
      <c r="K91" s="107"/>
      <c r="L91" s="107"/>
      <c r="M91" s="107"/>
      <c r="N91" s="108"/>
      <c r="O91" s="109"/>
      <c r="P91" s="109"/>
      <c r="Q91" s="109"/>
      <c r="R91" s="107"/>
      <c r="S91" s="107"/>
      <c r="T91" s="107">
        <f>Q91+P91</f>
        <v>0</v>
      </c>
      <c r="U91" s="107">
        <v>128391</v>
      </c>
      <c r="V91" s="107">
        <v>96149.3</v>
      </c>
      <c r="W91" s="107">
        <f t="shared" si="30"/>
        <v>192298.6</v>
      </c>
      <c r="X91" s="110">
        <v>192000</v>
      </c>
      <c r="Y91" s="107">
        <v>161572</v>
      </c>
      <c r="Z91" s="107">
        <f t="shared" si="28"/>
        <v>193886.4</v>
      </c>
      <c r="AA91" s="110">
        <v>170000</v>
      </c>
      <c r="AB91" s="110">
        <f>143845+15790</f>
        <v>159635</v>
      </c>
      <c r="AC91" s="110">
        <v>191500</v>
      </c>
      <c r="AD91" s="108">
        <f>AC91</f>
        <v>191500</v>
      </c>
      <c r="AE91" s="107">
        <v>196000</v>
      </c>
      <c r="AF91" s="107">
        <v>196000</v>
      </c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  <c r="GS91" s="14"/>
      <c r="GT91" s="14"/>
      <c r="GU91" s="14"/>
      <c r="GV91" s="14"/>
      <c r="GW91" s="14"/>
      <c r="GX91" s="14"/>
      <c r="GY91" s="14"/>
      <c r="GZ91" s="14"/>
      <c r="HA91" s="14"/>
      <c r="HB91" s="14"/>
      <c r="HC91" s="14"/>
      <c r="HD91" s="14"/>
      <c r="HE91" s="14"/>
      <c r="HF91" s="14"/>
      <c r="HG91" s="14"/>
      <c r="HH91" s="14"/>
      <c r="HI91" s="14"/>
      <c r="HJ91" s="14"/>
      <c r="HK91" s="14"/>
      <c r="HL91" s="14"/>
      <c r="HM91" s="14"/>
      <c r="HN91" s="14"/>
      <c r="HO91" s="14"/>
      <c r="HP91" s="14"/>
      <c r="HQ91" s="14"/>
      <c r="HR91" s="14"/>
      <c r="HS91" s="14"/>
      <c r="HT91" s="14"/>
      <c r="HU91" s="14"/>
      <c r="HV91" s="14"/>
      <c r="HW91" s="14"/>
      <c r="HX91" s="14"/>
      <c r="HY91" s="14"/>
      <c r="HZ91" s="14"/>
      <c r="IA91" s="14"/>
      <c r="IB91" s="14"/>
      <c r="IC91" s="14"/>
      <c r="ID91" s="14"/>
      <c r="IE91" s="14"/>
      <c r="IF91" s="14"/>
      <c r="IG91" s="14"/>
      <c r="IH91" s="14"/>
      <c r="II91" s="14"/>
      <c r="IJ91" s="14"/>
      <c r="IK91" s="14"/>
      <c r="IL91" s="14"/>
      <c r="IM91" s="14"/>
      <c r="IN91" s="14"/>
      <c r="IO91" s="14"/>
      <c r="IP91" s="14"/>
      <c r="IQ91" s="14"/>
      <c r="IR91" s="14"/>
      <c r="IS91" s="14"/>
      <c r="IT91" s="14"/>
      <c r="IU91" s="14"/>
      <c r="IV91" s="14"/>
    </row>
    <row r="92" spans="2:256" ht="30" customHeight="1" x14ac:dyDescent="0.25">
      <c r="B92" s="14"/>
      <c r="C92" s="102">
        <v>314086.92</v>
      </c>
      <c r="D92" s="103" t="s">
        <v>544</v>
      </c>
      <c r="E92" s="104"/>
      <c r="F92" s="105"/>
      <c r="G92" s="126"/>
      <c r="H92" s="104"/>
      <c r="I92" s="104"/>
      <c r="J92" s="154"/>
      <c r="K92" s="107"/>
      <c r="L92" s="107"/>
      <c r="M92" s="107"/>
      <c r="N92" s="108"/>
      <c r="O92" s="109"/>
      <c r="P92" s="109"/>
      <c r="Q92" s="109"/>
      <c r="R92" s="107"/>
      <c r="S92" s="107"/>
      <c r="T92" s="107">
        <f>Q92+P92</f>
        <v>0</v>
      </c>
      <c r="U92" s="107">
        <v>122871</v>
      </c>
      <c r="V92" s="107">
        <v>92003.78</v>
      </c>
      <c r="W92" s="107">
        <f t="shared" si="30"/>
        <v>184007.56</v>
      </c>
      <c r="X92" s="110">
        <v>184000</v>
      </c>
      <c r="Y92" s="107">
        <v>150991</v>
      </c>
      <c r="Z92" s="107">
        <f t="shared" si="28"/>
        <v>181189.2</v>
      </c>
      <c r="AA92" s="110">
        <v>161000</v>
      </c>
      <c r="AB92" s="110">
        <f>136294+15105</f>
        <v>151399</v>
      </c>
      <c r="AC92" s="110">
        <v>181000</v>
      </c>
      <c r="AD92" s="108">
        <f>AC92</f>
        <v>181000</v>
      </c>
      <c r="AE92" s="107">
        <v>186000</v>
      </c>
      <c r="AF92" s="107">
        <v>186000</v>
      </c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  <c r="GS92" s="14"/>
      <c r="GT92" s="14"/>
      <c r="GU92" s="14"/>
      <c r="GV92" s="14"/>
      <c r="GW92" s="14"/>
      <c r="GX92" s="14"/>
      <c r="GY92" s="14"/>
      <c r="GZ92" s="14"/>
      <c r="HA92" s="14"/>
      <c r="HB92" s="14"/>
      <c r="HC92" s="14"/>
      <c r="HD92" s="14"/>
      <c r="HE92" s="14"/>
      <c r="HF92" s="14"/>
      <c r="HG92" s="14"/>
      <c r="HH92" s="14"/>
      <c r="HI92" s="14"/>
      <c r="HJ92" s="14"/>
      <c r="HK92" s="14"/>
      <c r="HL92" s="14"/>
      <c r="HM92" s="14"/>
      <c r="HN92" s="14"/>
      <c r="HO92" s="14"/>
      <c r="HP92" s="14"/>
      <c r="HQ92" s="14"/>
      <c r="HR92" s="14"/>
      <c r="HS92" s="14"/>
      <c r="HT92" s="14"/>
      <c r="HU92" s="14"/>
      <c r="HV92" s="14"/>
      <c r="HW92" s="14"/>
      <c r="HX92" s="14"/>
      <c r="HY92" s="14"/>
      <c r="HZ92" s="14"/>
      <c r="IA92" s="14"/>
      <c r="IB92" s="14"/>
      <c r="IC92" s="14"/>
      <c r="ID92" s="14"/>
      <c r="IE92" s="14"/>
      <c r="IF92" s="14"/>
      <c r="IG92" s="14"/>
      <c r="IH92" s="14"/>
      <c r="II92" s="14"/>
      <c r="IJ92" s="14"/>
      <c r="IK92" s="14"/>
      <c r="IL92" s="14"/>
      <c r="IM92" s="14"/>
      <c r="IN92" s="14"/>
      <c r="IO92" s="14"/>
      <c r="IP92" s="14"/>
      <c r="IQ92" s="14"/>
      <c r="IR92" s="14"/>
      <c r="IS92" s="14"/>
      <c r="IT92" s="14"/>
      <c r="IU92" s="14"/>
      <c r="IV92" s="14"/>
    </row>
    <row r="93" spans="2:256" ht="30" customHeight="1" x14ac:dyDescent="0.25">
      <c r="B93" s="14"/>
      <c r="C93" s="102">
        <v>314087.92</v>
      </c>
      <c r="D93" s="103" t="s">
        <v>545</v>
      </c>
      <c r="E93" s="104"/>
      <c r="F93" s="105"/>
      <c r="G93" s="126"/>
      <c r="H93" s="104"/>
      <c r="I93" s="104"/>
      <c r="J93" s="154"/>
      <c r="K93" s="107"/>
      <c r="L93" s="107"/>
      <c r="M93" s="107"/>
      <c r="N93" s="108"/>
      <c r="O93" s="109"/>
      <c r="P93" s="109"/>
      <c r="Q93" s="109"/>
      <c r="R93" s="107"/>
      <c r="S93" s="107"/>
      <c r="T93" s="107">
        <f>Q93+P93</f>
        <v>0</v>
      </c>
      <c r="U93" s="107">
        <v>30851</v>
      </c>
      <c r="V93" s="107">
        <v>23106.79</v>
      </c>
      <c r="W93" s="107">
        <f t="shared" si="30"/>
        <v>46213.58</v>
      </c>
      <c r="X93" s="110">
        <v>46000</v>
      </c>
      <c r="Y93" s="107">
        <v>37924</v>
      </c>
      <c r="Z93" s="107">
        <f t="shared" si="28"/>
        <v>45508.800000000003</v>
      </c>
      <c r="AA93" s="110">
        <v>48000</v>
      </c>
      <c r="AB93" s="110">
        <f>34234+3794</f>
        <v>38028</v>
      </c>
      <c r="AC93" s="110">
        <v>45600</v>
      </c>
      <c r="AD93" s="108">
        <f>AC93</f>
        <v>45600</v>
      </c>
      <c r="AE93" s="107">
        <v>47000</v>
      </c>
      <c r="AF93" s="107">
        <v>47000</v>
      </c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  <c r="GS93" s="14"/>
      <c r="GT93" s="14"/>
      <c r="GU93" s="14"/>
      <c r="GV93" s="14"/>
      <c r="GW93" s="14"/>
      <c r="GX93" s="14"/>
      <c r="GY93" s="14"/>
      <c r="GZ93" s="14"/>
      <c r="HA93" s="14"/>
      <c r="HB93" s="14"/>
      <c r="HC93" s="14"/>
      <c r="HD93" s="14"/>
      <c r="HE93" s="14"/>
      <c r="HF93" s="14"/>
      <c r="HG93" s="14"/>
      <c r="HH93" s="14"/>
      <c r="HI93" s="14"/>
      <c r="HJ93" s="14"/>
      <c r="HK93" s="14"/>
      <c r="HL93" s="14"/>
      <c r="HM93" s="14"/>
      <c r="HN93" s="14"/>
      <c r="HO93" s="14"/>
      <c r="HP93" s="14"/>
      <c r="HQ93" s="14"/>
      <c r="HR93" s="14"/>
      <c r="HS93" s="14"/>
      <c r="HT93" s="14"/>
      <c r="HU93" s="14"/>
      <c r="HV93" s="14"/>
      <c r="HW93" s="14"/>
      <c r="HX93" s="14"/>
      <c r="HY93" s="14"/>
      <c r="HZ93" s="14"/>
      <c r="IA93" s="14"/>
      <c r="IB93" s="14"/>
      <c r="IC93" s="14"/>
      <c r="ID93" s="14"/>
      <c r="IE93" s="14"/>
      <c r="IF93" s="14"/>
      <c r="IG93" s="14"/>
      <c r="IH93" s="14"/>
      <c r="II93" s="14"/>
      <c r="IJ93" s="14"/>
      <c r="IK93" s="14"/>
      <c r="IL93" s="14"/>
      <c r="IM93" s="14"/>
      <c r="IN93" s="14"/>
      <c r="IO93" s="14"/>
      <c r="IP93" s="14"/>
      <c r="IQ93" s="14"/>
      <c r="IR93" s="14"/>
      <c r="IS93" s="14"/>
      <c r="IT93" s="14"/>
      <c r="IU93" s="14"/>
      <c r="IV93" s="14"/>
    </row>
    <row r="94" spans="2:256" ht="30" customHeight="1" x14ac:dyDescent="0.25">
      <c r="B94" s="14"/>
      <c r="C94" s="102">
        <v>314100.92</v>
      </c>
      <c r="D94" s="103" t="s">
        <v>705</v>
      </c>
      <c r="E94" s="104"/>
      <c r="F94" s="105"/>
      <c r="G94" s="126"/>
      <c r="H94" s="104"/>
      <c r="I94" s="104"/>
      <c r="J94" s="154"/>
      <c r="K94" s="107"/>
      <c r="L94" s="107"/>
      <c r="M94" s="107"/>
      <c r="N94" s="108"/>
      <c r="O94" s="109"/>
      <c r="P94" s="109"/>
      <c r="Q94" s="109"/>
      <c r="R94" s="107"/>
      <c r="S94" s="107"/>
      <c r="T94" s="107"/>
      <c r="U94" s="107"/>
      <c r="V94" s="107"/>
      <c r="W94" s="107"/>
      <c r="X94" s="110"/>
      <c r="Y94" s="107"/>
      <c r="Z94" s="107"/>
      <c r="AA94" s="110"/>
      <c r="AB94" s="110"/>
      <c r="AC94" s="110"/>
      <c r="AD94" s="108"/>
      <c r="AE94" s="107"/>
      <c r="AF94" s="107">
        <v>60000</v>
      </c>
      <c r="AG94" s="16"/>
      <c r="AH94" s="16">
        <v>10</v>
      </c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  <c r="GS94" s="14"/>
      <c r="GT94" s="14"/>
      <c r="GU94" s="14"/>
      <c r="GV94" s="14"/>
      <c r="GW94" s="14"/>
      <c r="GX94" s="14"/>
      <c r="GY94" s="14"/>
      <c r="GZ94" s="14"/>
      <c r="HA94" s="14"/>
      <c r="HB94" s="14"/>
      <c r="HC94" s="14"/>
      <c r="HD94" s="14"/>
      <c r="HE94" s="14"/>
      <c r="HF94" s="14"/>
      <c r="HG94" s="14"/>
      <c r="HH94" s="14"/>
      <c r="HI94" s="14"/>
      <c r="HJ94" s="14"/>
      <c r="HK94" s="14"/>
      <c r="HL94" s="14"/>
      <c r="HM94" s="14"/>
      <c r="HN94" s="14"/>
      <c r="HO94" s="14"/>
      <c r="HP94" s="14"/>
      <c r="HQ94" s="14"/>
      <c r="HR94" s="14"/>
      <c r="HS94" s="14"/>
      <c r="HT94" s="14"/>
      <c r="HU94" s="14"/>
      <c r="HV94" s="14"/>
      <c r="HW94" s="14"/>
      <c r="HX94" s="14"/>
      <c r="HY94" s="14"/>
      <c r="HZ94" s="14"/>
      <c r="IA94" s="14"/>
      <c r="IB94" s="14"/>
      <c r="IC94" s="14"/>
      <c r="ID94" s="14"/>
      <c r="IE94" s="14"/>
      <c r="IF94" s="14"/>
      <c r="IG94" s="14"/>
      <c r="IH94" s="14"/>
      <c r="II94" s="14"/>
      <c r="IJ94" s="14"/>
      <c r="IK94" s="14"/>
      <c r="IL94" s="14"/>
      <c r="IM94" s="14"/>
      <c r="IN94" s="14"/>
      <c r="IO94" s="14"/>
      <c r="IP94" s="14"/>
      <c r="IQ94" s="14"/>
      <c r="IR94" s="14"/>
      <c r="IS94" s="14"/>
      <c r="IT94" s="14"/>
      <c r="IU94" s="14"/>
      <c r="IV94" s="14"/>
    </row>
    <row r="95" spans="2:256" ht="30" customHeight="1" x14ac:dyDescent="0.25">
      <c r="B95" s="14"/>
      <c r="C95" s="102">
        <v>314214.92</v>
      </c>
      <c r="D95" s="103" t="s">
        <v>542</v>
      </c>
      <c r="E95" s="104"/>
      <c r="F95" s="105"/>
      <c r="G95" s="126"/>
      <c r="H95" s="104"/>
      <c r="I95" s="104"/>
      <c r="J95" s="154"/>
      <c r="K95" s="107"/>
      <c r="L95" s="107"/>
      <c r="M95" s="107"/>
      <c r="N95" s="108"/>
      <c r="O95" s="109"/>
      <c r="P95" s="109"/>
      <c r="Q95" s="109"/>
      <c r="R95" s="107"/>
      <c r="S95" s="107"/>
      <c r="T95" s="107">
        <f>Q95+P95</f>
        <v>0</v>
      </c>
      <c r="U95" s="107">
        <f>4200000+420000</f>
        <v>4620000</v>
      </c>
      <c r="V95" s="107">
        <v>2386085.92</v>
      </c>
      <c r="W95" s="107">
        <f t="shared" si="30"/>
        <v>4772171.84</v>
      </c>
      <c r="X95" s="110">
        <v>4772000</v>
      </c>
      <c r="Y95" s="107">
        <v>3925090</v>
      </c>
      <c r="Z95" s="107">
        <f t="shared" si="28"/>
        <v>4710108</v>
      </c>
      <c r="AA95" s="110">
        <v>4500000</v>
      </c>
      <c r="AB95" s="110">
        <f>3559337+382407+10587</f>
        <v>3952331</v>
      </c>
      <c r="AC95" s="110">
        <v>4700000</v>
      </c>
      <c r="AD95" s="108">
        <f>AC95</f>
        <v>4700000</v>
      </c>
      <c r="AE95" s="107">
        <v>4985000</v>
      </c>
      <c r="AF95" s="107">
        <v>5200000</v>
      </c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  <c r="GS95" s="14"/>
      <c r="GT95" s="14"/>
      <c r="GU95" s="14"/>
      <c r="GV95" s="14"/>
      <c r="GW95" s="14"/>
      <c r="GX95" s="14"/>
      <c r="GY95" s="14"/>
      <c r="GZ95" s="14"/>
      <c r="HA95" s="14"/>
      <c r="HB95" s="14"/>
      <c r="HC95" s="14"/>
      <c r="HD95" s="14"/>
      <c r="HE95" s="14"/>
      <c r="HF95" s="14"/>
      <c r="HG95" s="14"/>
      <c r="HH95" s="14"/>
      <c r="HI95" s="14"/>
      <c r="HJ95" s="14"/>
      <c r="HK95" s="14"/>
      <c r="HL95" s="14"/>
      <c r="HM95" s="14"/>
      <c r="HN95" s="14"/>
      <c r="HO95" s="14"/>
      <c r="HP95" s="14"/>
      <c r="HQ95" s="14"/>
      <c r="HR95" s="14"/>
      <c r="HS95" s="14"/>
      <c r="HT95" s="14"/>
      <c r="HU95" s="14"/>
      <c r="HV95" s="14"/>
      <c r="HW95" s="14"/>
      <c r="HX95" s="14"/>
      <c r="HY95" s="14"/>
      <c r="HZ95" s="14"/>
      <c r="IA95" s="14"/>
      <c r="IB95" s="14"/>
      <c r="IC95" s="14"/>
      <c r="ID95" s="14"/>
      <c r="IE95" s="14"/>
      <c r="IF95" s="14"/>
      <c r="IG95" s="14"/>
      <c r="IH95" s="14"/>
      <c r="II95" s="14"/>
      <c r="IJ95" s="14"/>
      <c r="IK95" s="14"/>
      <c r="IL95" s="14"/>
      <c r="IM95" s="14"/>
      <c r="IN95" s="14"/>
      <c r="IO95" s="14"/>
      <c r="IP95" s="14"/>
      <c r="IQ95" s="14"/>
      <c r="IR95" s="14"/>
      <c r="IS95" s="14"/>
      <c r="IT95" s="14"/>
      <c r="IU95" s="14"/>
      <c r="IV95" s="14"/>
    </row>
    <row r="96" spans="2:256" ht="30" customHeight="1" x14ac:dyDescent="0.25">
      <c r="B96" s="14"/>
      <c r="C96" s="131" t="s">
        <v>300</v>
      </c>
      <c r="D96" s="150"/>
      <c r="E96" s="115" t="e">
        <f>SUM(#REF!)</f>
        <v>#REF!</v>
      </c>
      <c r="F96" s="115" t="e">
        <f>SUM(#REF!)</f>
        <v>#REF!</v>
      </c>
      <c r="G96" s="115" t="e">
        <f>SUM(#REF!)</f>
        <v>#REF!</v>
      </c>
      <c r="H96" s="115" t="e">
        <f>SUM(#REF!)</f>
        <v>#REF!</v>
      </c>
      <c r="I96" s="104">
        <f>4/3</f>
        <v>1.3333333333333333</v>
      </c>
      <c r="J96" s="154"/>
      <c r="K96" s="117" t="e">
        <f>SUM(#REF!)</f>
        <v>#REF!</v>
      </c>
      <c r="L96" s="117" t="e">
        <f>SUM(#REF!)</f>
        <v>#REF!</v>
      </c>
      <c r="M96" s="117" t="e">
        <f>SUM(#REF!)</f>
        <v>#REF!</v>
      </c>
      <c r="N96" s="117" t="e">
        <f>SUM(#REF!)</f>
        <v>#REF!</v>
      </c>
      <c r="O96" s="118" t="e">
        <f>SUM(#REF!)</f>
        <v>#REF!</v>
      </c>
      <c r="P96" s="118" t="e">
        <f>SUM(#REF!)</f>
        <v>#REF!</v>
      </c>
      <c r="Q96" s="118" t="e">
        <f>SUM(#REF!)</f>
        <v>#REF!</v>
      </c>
      <c r="R96" s="117">
        <f t="shared" ref="R96:AF96" si="34">SUM(R90:R95)</f>
        <v>0</v>
      </c>
      <c r="S96" s="117">
        <f t="shared" si="34"/>
        <v>0</v>
      </c>
      <c r="T96" s="117">
        <f t="shared" si="34"/>
        <v>0</v>
      </c>
      <c r="U96" s="117">
        <f t="shared" si="34"/>
        <v>4902113</v>
      </c>
      <c r="V96" s="117">
        <f t="shared" si="34"/>
        <v>2597345.79</v>
      </c>
      <c r="W96" s="117">
        <f t="shared" si="34"/>
        <v>5194691.58</v>
      </c>
      <c r="X96" s="117">
        <f t="shared" si="34"/>
        <v>5194000</v>
      </c>
      <c r="Y96" s="117">
        <f t="shared" si="34"/>
        <v>4275577</v>
      </c>
      <c r="Z96" s="117">
        <f t="shared" si="34"/>
        <v>5130692.4000000004</v>
      </c>
      <c r="AA96" s="117">
        <f t="shared" si="34"/>
        <v>4879000</v>
      </c>
      <c r="AB96" s="117">
        <f t="shared" si="34"/>
        <v>4301393</v>
      </c>
      <c r="AC96" s="117">
        <f t="shared" si="34"/>
        <v>5118100</v>
      </c>
      <c r="AD96" s="117">
        <f t="shared" si="34"/>
        <v>5118100</v>
      </c>
      <c r="AE96" s="117">
        <f t="shared" si="34"/>
        <v>5414000</v>
      </c>
      <c r="AF96" s="117">
        <f t="shared" si="34"/>
        <v>5689000</v>
      </c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  <c r="GS96" s="14"/>
      <c r="GT96" s="14"/>
      <c r="GU96" s="14"/>
      <c r="GV96" s="14"/>
      <c r="GW96" s="14"/>
      <c r="GX96" s="14"/>
      <c r="GY96" s="14"/>
      <c r="GZ96" s="14"/>
      <c r="HA96" s="14"/>
      <c r="HB96" s="14"/>
      <c r="HC96" s="14"/>
      <c r="HD96" s="14"/>
      <c r="HE96" s="14"/>
      <c r="HF96" s="14"/>
      <c r="HG96" s="14"/>
      <c r="HH96" s="14"/>
      <c r="HI96" s="14"/>
      <c r="HJ96" s="14"/>
      <c r="HK96" s="14"/>
      <c r="HL96" s="14"/>
      <c r="HM96" s="14"/>
      <c r="HN96" s="14"/>
      <c r="HO96" s="14"/>
      <c r="HP96" s="14"/>
      <c r="HQ96" s="14"/>
      <c r="HR96" s="14"/>
      <c r="HS96" s="14"/>
      <c r="HT96" s="14"/>
      <c r="HU96" s="14"/>
      <c r="HV96" s="14"/>
      <c r="HW96" s="14"/>
      <c r="HX96" s="14"/>
      <c r="HY96" s="14"/>
      <c r="HZ96" s="14"/>
      <c r="IA96" s="14"/>
      <c r="IB96" s="14"/>
      <c r="IC96" s="14"/>
      <c r="ID96" s="14"/>
      <c r="IE96" s="14"/>
      <c r="IF96" s="14"/>
      <c r="IG96" s="14"/>
      <c r="IH96" s="14"/>
      <c r="II96" s="14"/>
      <c r="IJ96" s="14"/>
      <c r="IK96" s="14"/>
      <c r="IL96" s="14"/>
      <c r="IM96" s="14"/>
      <c r="IN96" s="14"/>
      <c r="IO96" s="14"/>
      <c r="IP96" s="14"/>
      <c r="IQ96" s="14"/>
      <c r="IR96" s="14"/>
      <c r="IS96" s="14"/>
      <c r="IT96" s="14"/>
      <c r="IU96" s="14"/>
      <c r="IV96" s="14"/>
    </row>
    <row r="97" spans="2:256" ht="30" customHeight="1" x14ac:dyDescent="0.25">
      <c r="B97" s="14"/>
      <c r="C97" s="102"/>
      <c r="D97" s="103"/>
      <c r="E97" s="104"/>
      <c r="F97" s="105"/>
      <c r="G97" s="126"/>
      <c r="H97" s="104"/>
      <c r="I97" s="104">
        <f>4/3</f>
        <v>1.3333333333333333</v>
      </c>
      <c r="J97" s="154"/>
      <c r="K97" s="107"/>
      <c r="L97" s="107"/>
      <c r="M97" s="107"/>
      <c r="N97" s="108"/>
      <c r="O97" s="109"/>
      <c r="P97" s="109"/>
      <c r="Q97" s="109"/>
      <c r="R97" s="107"/>
      <c r="S97" s="107"/>
      <c r="T97" s="107"/>
      <c r="U97" s="107"/>
      <c r="V97" s="107"/>
      <c r="W97" s="107"/>
      <c r="X97" s="110"/>
      <c r="Y97" s="107"/>
      <c r="Z97" s="107">
        <f t="shared" si="28"/>
        <v>0</v>
      </c>
      <c r="AA97" s="110"/>
      <c r="AB97" s="110"/>
      <c r="AC97" s="110"/>
      <c r="AD97" s="110"/>
      <c r="AE97" s="159"/>
      <c r="AF97" s="159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  <c r="GS97" s="14"/>
      <c r="GT97" s="14"/>
      <c r="GU97" s="14"/>
      <c r="GV97" s="14"/>
      <c r="GW97" s="14"/>
      <c r="GX97" s="14"/>
      <c r="GY97" s="14"/>
      <c r="GZ97" s="14"/>
      <c r="HA97" s="14"/>
      <c r="HB97" s="14"/>
      <c r="HC97" s="14"/>
      <c r="HD97" s="14"/>
      <c r="HE97" s="14"/>
      <c r="HF97" s="14"/>
      <c r="HG97" s="14"/>
      <c r="HH97" s="14"/>
      <c r="HI97" s="14"/>
      <c r="HJ97" s="14"/>
      <c r="HK97" s="14"/>
      <c r="HL97" s="14"/>
      <c r="HM97" s="14"/>
      <c r="HN97" s="14"/>
      <c r="HO97" s="14"/>
      <c r="HP97" s="14"/>
      <c r="HQ97" s="14"/>
      <c r="HR97" s="14"/>
      <c r="HS97" s="14"/>
      <c r="HT97" s="14"/>
      <c r="HU97" s="14"/>
      <c r="HV97" s="14"/>
      <c r="HW97" s="14"/>
      <c r="HX97" s="14"/>
      <c r="HY97" s="14"/>
      <c r="HZ97" s="14"/>
      <c r="IA97" s="14"/>
      <c r="IB97" s="14"/>
      <c r="IC97" s="14"/>
      <c r="ID97" s="14"/>
      <c r="IE97" s="14"/>
      <c r="IF97" s="14"/>
      <c r="IG97" s="14"/>
      <c r="IH97" s="14"/>
      <c r="II97" s="14"/>
      <c r="IJ97" s="14"/>
      <c r="IK97" s="14"/>
      <c r="IL97" s="14"/>
      <c r="IM97" s="14"/>
      <c r="IN97" s="14"/>
      <c r="IO97" s="14"/>
      <c r="IP97" s="14"/>
      <c r="IQ97" s="14"/>
      <c r="IR97" s="14"/>
      <c r="IS97" s="14"/>
      <c r="IT97" s="14"/>
      <c r="IU97" s="14"/>
      <c r="IV97" s="14"/>
    </row>
    <row r="98" spans="2:256" ht="30" customHeight="1" x14ac:dyDescent="0.25">
      <c r="B98" s="14"/>
      <c r="C98" s="102">
        <v>315001.92</v>
      </c>
      <c r="D98" s="103" t="s">
        <v>569</v>
      </c>
      <c r="E98" s="104"/>
      <c r="F98" s="105"/>
      <c r="G98" s="126"/>
      <c r="H98" s="104"/>
      <c r="I98" s="104"/>
      <c r="J98" s="154"/>
      <c r="K98" s="107"/>
      <c r="L98" s="107"/>
      <c r="M98" s="107"/>
      <c r="N98" s="108"/>
      <c r="O98" s="109"/>
      <c r="P98" s="109"/>
      <c r="Q98" s="109"/>
      <c r="R98" s="107"/>
      <c r="S98" s="107"/>
      <c r="T98" s="107">
        <f t="shared" ref="T98:T125" si="35">Q98+P98</f>
        <v>0</v>
      </c>
      <c r="U98" s="107">
        <v>25500000</v>
      </c>
      <c r="V98" s="107">
        <v>11765674.15</v>
      </c>
      <c r="W98" s="107">
        <f>V98*2+1650000</f>
        <v>25181348.300000001</v>
      </c>
      <c r="X98" s="110">
        <v>25200000</v>
      </c>
      <c r="Y98" s="107">
        <v>18977239</v>
      </c>
      <c r="Z98" s="107">
        <f t="shared" si="28"/>
        <v>22772686.800000001</v>
      </c>
      <c r="AA98" s="110">
        <v>21200000</v>
      </c>
      <c r="AB98" s="110">
        <f>15764792+1732209+23719</f>
        <v>17520720</v>
      </c>
      <c r="AC98" s="110">
        <v>21025000</v>
      </c>
      <c r="AD98" s="108">
        <f t="shared" ref="AD98:AD125" si="36">AC98</f>
        <v>21025000</v>
      </c>
      <c r="AE98" s="107">
        <v>22100000</v>
      </c>
      <c r="AF98" s="107">
        <v>26000000</v>
      </c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  <c r="GS98" s="14"/>
      <c r="GT98" s="14"/>
      <c r="GU98" s="14"/>
      <c r="GV98" s="14"/>
      <c r="GW98" s="14"/>
      <c r="GX98" s="14"/>
      <c r="GY98" s="14"/>
      <c r="GZ98" s="14"/>
      <c r="HA98" s="14"/>
      <c r="HB98" s="14"/>
      <c r="HC98" s="14"/>
      <c r="HD98" s="14"/>
      <c r="HE98" s="14"/>
      <c r="HF98" s="14"/>
      <c r="HG98" s="14"/>
      <c r="HH98" s="14"/>
      <c r="HI98" s="14"/>
      <c r="HJ98" s="14"/>
      <c r="HK98" s="14"/>
      <c r="HL98" s="14"/>
      <c r="HM98" s="14"/>
      <c r="HN98" s="14"/>
      <c r="HO98" s="14"/>
      <c r="HP98" s="14"/>
      <c r="HQ98" s="14"/>
      <c r="HR98" s="14"/>
      <c r="HS98" s="14"/>
      <c r="HT98" s="14"/>
      <c r="HU98" s="14"/>
      <c r="HV98" s="14"/>
      <c r="HW98" s="14"/>
      <c r="HX98" s="14"/>
      <c r="HY98" s="14"/>
      <c r="HZ98" s="14"/>
      <c r="IA98" s="14"/>
      <c r="IB98" s="14"/>
      <c r="IC98" s="14"/>
      <c r="ID98" s="14"/>
      <c r="IE98" s="14"/>
      <c r="IF98" s="14"/>
      <c r="IG98" s="14"/>
      <c r="IH98" s="14"/>
      <c r="II98" s="14"/>
      <c r="IJ98" s="14"/>
      <c r="IK98" s="14"/>
      <c r="IL98" s="14"/>
      <c r="IM98" s="14"/>
      <c r="IN98" s="14"/>
      <c r="IO98" s="14"/>
      <c r="IP98" s="14"/>
      <c r="IQ98" s="14"/>
      <c r="IR98" s="14"/>
      <c r="IS98" s="14"/>
      <c r="IT98" s="14"/>
      <c r="IU98" s="14"/>
      <c r="IV98" s="14"/>
    </row>
    <row r="99" spans="2:256" ht="30" customHeight="1" x14ac:dyDescent="0.25">
      <c r="B99" s="14"/>
      <c r="C99" s="102">
        <v>315035.92</v>
      </c>
      <c r="D99" s="103" t="s">
        <v>546</v>
      </c>
      <c r="E99" s="104"/>
      <c r="F99" s="105"/>
      <c r="G99" s="126"/>
      <c r="H99" s="104"/>
      <c r="I99" s="104"/>
      <c r="J99" s="154"/>
      <c r="K99" s="107"/>
      <c r="L99" s="107"/>
      <c r="M99" s="107"/>
      <c r="N99" s="108"/>
      <c r="O99" s="109"/>
      <c r="P99" s="109"/>
      <c r="Q99" s="109"/>
      <c r="R99" s="107"/>
      <c r="S99" s="107"/>
      <c r="T99" s="107">
        <f t="shared" si="35"/>
        <v>0</v>
      </c>
      <c r="U99" s="107">
        <v>332847</v>
      </c>
      <c r="V99" s="107">
        <v>680531</v>
      </c>
      <c r="W99" s="107">
        <v>680531</v>
      </c>
      <c r="X99" s="110">
        <v>680531</v>
      </c>
      <c r="Y99" s="107">
        <v>1153200</v>
      </c>
      <c r="Z99" s="107">
        <f t="shared" si="28"/>
        <v>1383840</v>
      </c>
      <c r="AA99" s="110">
        <v>1226000</v>
      </c>
      <c r="AB99" s="110">
        <f>1206484+123011+3118</f>
        <v>1332613</v>
      </c>
      <c r="AC99" s="110">
        <v>1599000</v>
      </c>
      <c r="AD99" s="108">
        <f t="shared" si="36"/>
        <v>1599000</v>
      </c>
      <c r="AE99" s="107">
        <v>1746000</v>
      </c>
      <c r="AF99" s="107">
        <v>1900000</v>
      </c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  <c r="GS99" s="14"/>
      <c r="GT99" s="14"/>
      <c r="GU99" s="14"/>
      <c r="GV99" s="14"/>
      <c r="GW99" s="14"/>
      <c r="GX99" s="14"/>
      <c r="GY99" s="14"/>
      <c r="GZ99" s="14"/>
      <c r="HA99" s="14"/>
      <c r="HB99" s="14"/>
      <c r="HC99" s="14"/>
      <c r="HD99" s="14"/>
      <c r="HE99" s="14"/>
      <c r="HF99" s="14"/>
      <c r="HG99" s="14"/>
      <c r="HH99" s="14"/>
      <c r="HI99" s="14"/>
      <c r="HJ99" s="14"/>
      <c r="HK99" s="14"/>
      <c r="HL99" s="14"/>
      <c r="HM99" s="14"/>
      <c r="HN99" s="14"/>
      <c r="HO99" s="14"/>
      <c r="HP99" s="14"/>
      <c r="HQ99" s="14"/>
      <c r="HR99" s="14"/>
      <c r="HS99" s="14"/>
      <c r="HT99" s="14"/>
      <c r="HU99" s="14"/>
      <c r="HV99" s="14"/>
      <c r="HW99" s="14"/>
      <c r="HX99" s="14"/>
      <c r="HY99" s="14"/>
      <c r="HZ99" s="14"/>
      <c r="IA99" s="14"/>
      <c r="IB99" s="14"/>
      <c r="IC99" s="14"/>
      <c r="ID99" s="14"/>
      <c r="IE99" s="14"/>
      <c r="IF99" s="14"/>
      <c r="IG99" s="14"/>
      <c r="IH99" s="14"/>
      <c r="II99" s="14"/>
      <c r="IJ99" s="14"/>
      <c r="IK99" s="14"/>
      <c r="IL99" s="14"/>
      <c r="IM99" s="14"/>
      <c r="IN99" s="14"/>
      <c r="IO99" s="14"/>
      <c r="IP99" s="14"/>
      <c r="IQ99" s="14"/>
      <c r="IR99" s="14"/>
      <c r="IS99" s="14"/>
      <c r="IT99" s="14"/>
      <c r="IU99" s="14"/>
      <c r="IV99" s="14"/>
    </row>
    <row r="100" spans="2:256" ht="30" customHeight="1" x14ac:dyDescent="0.25">
      <c r="B100" s="14"/>
      <c r="C100" s="102">
        <v>315037.92</v>
      </c>
      <c r="D100" s="103" t="s">
        <v>547</v>
      </c>
      <c r="E100" s="104"/>
      <c r="F100" s="105"/>
      <c r="G100" s="126"/>
      <c r="H100" s="104"/>
      <c r="I100" s="104"/>
      <c r="J100" s="154"/>
      <c r="K100" s="107"/>
      <c r="L100" s="107"/>
      <c r="M100" s="107"/>
      <c r="N100" s="108"/>
      <c r="O100" s="109"/>
      <c r="P100" s="109"/>
      <c r="Q100" s="109"/>
      <c r="R100" s="107"/>
      <c r="S100" s="107"/>
      <c r="T100" s="107">
        <f t="shared" si="35"/>
        <v>0</v>
      </c>
      <c r="U100" s="107">
        <v>56401</v>
      </c>
      <c r="V100" s="107">
        <v>24263</v>
      </c>
      <c r="W100" s="107">
        <f t="shared" si="30"/>
        <v>48526</v>
      </c>
      <c r="X100" s="110">
        <v>48526</v>
      </c>
      <c r="Y100" s="107">
        <v>37044</v>
      </c>
      <c r="Z100" s="107">
        <f t="shared" si="28"/>
        <v>44452.800000000003</v>
      </c>
      <c r="AA100" s="110">
        <v>20000</v>
      </c>
      <c r="AB100" s="110">
        <f>25966+5073</f>
        <v>31039</v>
      </c>
      <c r="AC100" s="110">
        <v>37000</v>
      </c>
      <c r="AD100" s="108">
        <f t="shared" si="36"/>
        <v>37000</v>
      </c>
      <c r="AE100" s="107">
        <v>70000</v>
      </c>
      <c r="AF100" s="107">
        <v>70000</v>
      </c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  <c r="GS100" s="14"/>
      <c r="GT100" s="14"/>
      <c r="GU100" s="14"/>
      <c r="GV100" s="14"/>
      <c r="GW100" s="14"/>
      <c r="GX100" s="14"/>
      <c r="GY100" s="14"/>
      <c r="GZ100" s="14"/>
      <c r="HA100" s="14"/>
      <c r="HB100" s="14"/>
      <c r="HC100" s="14"/>
      <c r="HD100" s="14"/>
      <c r="HE100" s="14"/>
      <c r="HF100" s="14"/>
      <c r="HG100" s="14"/>
      <c r="HH100" s="14"/>
      <c r="HI100" s="14"/>
      <c r="HJ100" s="14"/>
      <c r="HK100" s="14"/>
      <c r="HL100" s="14"/>
      <c r="HM100" s="14"/>
      <c r="HN100" s="14"/>
      <c r="HO100" s="14"/>
      <c r="HP100" s="14"/>
      <c r="HQ100" s="14"/>
      <c r="HR100" s="14"/>
      <c r="HS100" s="14"/>
      <c r="HT100" s="14"/>
      <c r="HU100" s="14"/>
      <c r="HV100" s="14"/>
      <c r="HW100" s="14"/>
      <c r="HX100" s="14"/>
      <c r="HY100" s="14"/>
      <c r="HZ100" s="14"/>
      <c r="IA100" s="14"/>
      <c r="IB100" s="14"/>
      <c r="IC100" s="14"/>
      <c r="ID100" s="14"/>
      <c r="IE100" s="14"/>
      <c r="IF100" s="14"/>
      <c r="IG100" s="14"/>
      <c r="IH100" s="14"/>
      <c r="II100" s="14"/>
      <c r="IJ100" s="14"/>
      <c r="IK100" s="14"/>
      <c r="IL100" s="14"/>
      <c r="IM100" s="14"/>
      <c r="IN100" s="14"/>
      <c r="IO100" s="14"/>
      <c r="IP100" s="14"/>
      <c r="IQ100" s="14"/>
      <c r="IR100" s="14"/>
      <c r="IS100" s="14"/>
      <c r="IT100" s="14"/>
      <c r="IU100" s="14"/>
      <c r="IV100" s="14"/>
    </row>
    <row r="101" spans="2:256" ht="30" customHeight="1" x14ac:dyDescent="0.25">
      <c r="B101" s="14"/>
      <c r="C101" s="102">
        <v>315088.92</v>
      </c>
      <c r="D101" s="103" t="s">
        <v>548</v>
      </c>
      <c r="E101" s="104"/>
      <c r="F101" s="105"/>
      <c r="G101" s="126"/>
      <c r="H101" s="104"/>
      <c r="I101" s="104"/>
      <c r="J101" s="154"/>
      <c r="K101" s="107"/>
      <c r="L101" s="107"/>
      <c r="M101" s="107"/>
      <c r="N101" s="108"/>
      <c r="O101" s="109"/>
      <c r="P101" s="109"/>
      <c r="Q101" s="109"/>
      <c r="R101" s="107"/>
      <c r="S101" s="107"/>
      <c r="T101" s="107">
        <f t="shared" si="35"/>
        <v>0</v>
      </c>
      <c r="U101" s="107">
        <v>12792</v>
      </c>
      <c r="V101" s="107">
        <v>8314</v>
      </c>
      <c r="W101" s="107">
        <f t="shared" si="30"/>
        <v>16628</v>
      </c>
      <c r="X101" s="110">
        <v>16628</v>
      </c>
      <c r="Y101" s="107">
        <v>11102</v>
      </c>
      <c r="Z101" s="107">
        <f t="shared" si="28"/>
        <v>13322.4</v>
      </c>
      <c r="AA101" s="110">
        <v>14400</v>
      </c>
      <c r="AB101" s="110">
        <f>12942+1605</f>
        <v>14547</v>
      </c>
      <c r="AC101" s="110">
        <v>17500</v>
      </c>
      <c r="AD101" s="108">
        <f t="shared" si="36"/>
        <v>17500</v>
      </c>
      <c r="AE101" s="107">
        <v>18000</v>
      </c>
      <c r="AF101" s="107">
        <v>18000</v>
      </c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  <c r="GS101" s="14"/>
      <c r="GT101" s="14"/>
      <c r="GU101" s="14"/>
      <c r="GV101" s="14"/>
      <c r="GW101" s="14"/>
      <c r="GX101" s="14"/>
      <c r="GY101" s="14"/>
      <c r="GZ101" s="14"/>
      <c r="HA101" s="14"/>
      <c r="HB101" s="14"/>
      <c r="HC101" s="14"/>
      <c r="HD101" s="14"/>
      <c r="HE101" s="14"/>
      <c r="HF101" s="14"/>
      <c r="HG101" s="14"/>
      <c r="HH101" s="14"/>
      <c r="HI101" s="14"/>
      <c r="HJ101" s="14"/>
      <c r="HK101" s="14"/>
      <c r="HL101" s="14"/>
      <c r="HM101" s="14"/>
      <c r="HN101" s="14"/>
      <c r="HO101" s="14"/>
      <c r="HP101" s="14"/>
      <c r="HQ101" s="14"/>
      <c r="HR101" s="14"/>
      <c r="HS101" s="14"/>
      <c r="HT101" s="14"/>
      <c r="HU101" s="14"/>
      <c r="HV101" s="14"/>
      <c r="HW101" s="14"/>
      <c r="HX101" s="14"/>
      <c r="HY101" s="14"/>
      <c r="HZ101" s="14"/>
      <c r="IA101" s="14"/>
      <c r="IB101" s="14"/>
      <c r="IC101" s="14"/>
      <c r="ID101" s="14"/>
      <c r="IE101" s="14"/>
      <c r="IF101" s="14"/>
      <c r="IG101" s="14"/>
      <c r="IH101" s="14"/>
      <c r="II101" s="14"/>
      <c r="IJ101" s="14"/>
      <c r="IK101" s="14"/>
      <c r="IL101" s="14"/>
      <c r="IM101" s="14"/>
      <c r="IN101" s="14"/>
      <c r="IO101" s="14"/>
      <c r="IP101" s="14"/>
      <c r="IQ101" s="14"/>
      <c r="IR101" s="14"/>
      <c r="IS101" s="14"/>
      <c r="IT101" s="14"/>
      <c r="IU101" s="14"/>
      <c r="IV101" s="14"/>
    </row>
    <row r="102" spans="2:256" ht="30" customHeight="1" x14ac:dyDescent="0.25">
      <c r="B102" s="14"/>
      <c r="C102" s="102">
        <v>315092.92</v>
      </c>
      <c r="D102" s="103" t="s">
        <v>549</v>
      </c>
      <c r="E102" s="104"/>
      <c r="F102" s="105"/>
      <c r="G102" s="126"/>
      <c r="H102" s="104"/>
      <c r="I102" s="104"/>
      <c r="J102" s="154"/>
      <c r="K102" s="107"/>
      <c r="L102" s="107"/>
      <c r="M102" s="107"/>
      <c r="N102" s="108"/>
      <c r="O102" s="109"/>
      <c r="P102" s="109"/>
      <c r="Q102" s="109"/>
      <c r="R102" s="107"/>
      <c r="S102" s="107"/>
      <c r="T102" s="107">
        <f t="shared" si="35"/>
        <v>0</v>
      </c>
      <c r="U102" s="107">
        <v>39583</v>
      </c>
      <c r="V102" s="107">
        <v>19892</v>
      </c>
      <c r="W102" s="107">
        <f t="shared" si="30"/>
        <v>39784</v>
      </c>
      <c r="X102" s="110">
        <v>37984</v>
      </c>
      <c r="Y102" s="107">
        <v>33153</v>
      </c>
      <c r="Z102" s="107">
        <f t="shared" si="28"/>
        <v>39783.599999999999</v>
      </c>
      <c r="AA102" s="110">
        <v>50000</v>
      </c>
      <c r="AB102" s="110">
        <f>29901+3322</f>
        <v>33223</v>
      </c>
      <c r="AC102" s="110">
        <v>40000</v>
      </c>
      <c r="AD102" s="108">
        <f t="shared" si="36"/>
        <v>40000</v>
      </c>
      <c r="AE102" s="107">
        <v>40000</v>
      </c>
      <c r="AF102" s="107">
        <v>40000</v>
      </c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  <c r="GS102" s="14"/>
      <c r="GT102" s="14"/>
      <c r="GU102" s="14"/>
      <c r="GV102" s="14"/>
      <c r="GW102" s="14"/>
      <c r="GX102" s="14"/>
      <c r="GY102" s="14"/>
      <c r="GZ102" s="14"/>
      <c r="HA102" s="14"/>
      <c r="HB102" s="14"/>
      <c r="HC102" s="14"/>
      <c r="HD102" s="14"/>
      <c r="HE102" s="14"/>
      <c r="HF102" s="14"/>
      <c r="HG102" s="14"/>
      <c r="HH102" s="14"/>
      <c r="HI102" s="14"/>
      <c r="HJ102" s="14"/>
      <c r="HK102" s="14"/>
      <c r="HL102" s="14"/>
      <c r="HM102" s="14"/>
      <c r="HN102" s="14"/>
      <c r="HO102" s="14"/>
      <c r="HP102" s="14"/>
      <c r="HQ102" s="14"/>
      <c r="HR102" s="14"/>
      <c r="HS102" s="14"/>
      <c r="HT102" s="14"/>
      <c r="HU102" s="14"/>
      <c r="HV102" s="14"/>
      <c r="HW102" s="14"/>
      <c r="HX102" s="14"/>
      <c r="HY102" s="14"/>
      <c r="HZ102" s="14"/>
      <c r="IA102" s="14"/>
      <c r="IB102" s="14"/>
      <c r="IC102" s="14"/>
      <c r="ID102" s="14"/>
      <c r="IE102" s="14"/>
      <c r="IF102" s="14"/>
      <c r="IG102" s="14"/>
      <c r="IH102" s="14"/>
      <c r="II102" s="14"/>
      <c r="IJ102" s="14"/>
      <c r="IK102" s="14"/>
      <c r="IL102" s="14"/>
      <c r="IM102" s="14"/>
      <c r="IN102" s="14"/>
      <c r="IO102" s="14"/>
      <c r="IP102" s="14"/>
      <c r="IQ102" s="14"/>
      <c r="IR102" s="14"/>
      <c r="IS102" s="14"/>
      <c r="IT102" s="14"/>
      <c r="IU102" s="14"/>
      <c r="IV102" s="14"/>
    </row>
    <row r="103" spans="2:256" ht="30" customHeight="1" x14ac:dyDescent="0.25">
      <c r="B103" s="14"/>
      <c r="C103" s="143">
        <v>315100.53999999998</v>
      </c>
      <c r="D103" s="103" t="s">
        <v>464</v>
      </c>
      <c r="E103" s="104"/>
      <c r="F103" s="105"/>
      <c r="G103" s="126"/>
      <c r="H103" s="104"/>
      <c r="I103" s="104"/>
      <c r="J103" s="154"/>
      <c r="K103" s="107">
        <v>0</v>
      </c>
      <c r="L103" s="107"/>
      <c r="M103" s="107">
        <v>0</v>
      </c>
      <c r="N103" s="108"/>
      <c r="O103" s="109">
        <v>0</v>
      </c>
      <c r="P103" s="109">
        <v>12544</v>
      </c>
      <c r="Q103" s="109">
        <f>P103/8*4</f>
        <v>6272</v>
      </c>
      <c r="R103" s="107"/>
      <c r="S103" s="107">
        <v>12500</v>
      </c>
      <c r="T103" s="107">
        <f t="shared" si="35"/>
        <v>18816</v>
      </c>
      <c r="U103" s="107">
        <f>S103</f>
        <v>12500</v>
      </c>
      <c r="V103" s="107">
        <v>21500</v>
      </c>
      <c r="W103" s="107">
        <f t="shared" si="30"/>
        <v>43000</v>
      </c>
      <c r="X103" s="110">
        <v>43000</v>
      </c>
      <c r="Y103" s="107">
        <v>21544</v>
      </c>
      <c r="Z103" s="107">
        <f t="shared" si="28"/>
        <v>25852.799999999999</v>
      </c>
      <c r="AA103" s="110"/>
      <c r="AB103" s="110">
        <v>1802</v>
      </c>
      <c r="AC103" s="110">
        <v>2000</v>
      </c>
      <c r="AD103" s="108">
        <f t="shared" si="36"/>
        <v>2000</v>
      </c>
      <c r="AE103" s="107"/>
      <c r="AF103" s="107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  <c r="GS103" s="14"/>
      <c r="GT103" s="14"/>
      <c r="GU103" s="14"/>
      <c r="GV103" s="14"/>
      <c r="GW103" s="14"/>
      <c r="GX103" s="14"/>
      <c r="GY103" s="14"/>
      <c r="GZ103" s="14"/>
      <c r="HA103" s="14"/>
      <c r="HB103" s="14"/>
      <c r="HC103" s="14"/>
      <c r="HD103" s="14"/>
      <c r="HE103" s="14"/>
      <c r="HF103" s="14"/>
      <c r="HG103" s="14"/>
      <c r="HH103" s="14"/>
      <c r="HI103" s="14"/>
      <c r="HJ103" s="14"/>
      <c r="HK103" s="14"/>
      <c r="HL103" s="14"/>
      <c r="HM103" s="14"/>
      <c r="HN103" s="14"/>
      <c r="HO103" s="14"/>
      <c r="HP103" s="14"/>
      <c r="HQ103" s="14"/>
      <c r="HR103" s="14"/>
      <c r="HS103" s="14"/>
      <c r="HT103" s="14"/>
      <c r="HU103" s="14"/>
      <c r="HV103" s="14"/>
      <c r="HW103" s="14"/>
      <c r="HX103" s="14"/>
      <c r="HY103" s="14"/>
      <c r="HZ103" s="14"/>
      <c r="IA103" s="14"/>
      <c r="IB103" s="14"/>
      <c r="IC103" s="14"/>
      <c r="ID103" s="14"/>
      <c r="IE103" s="14"/>
      <c r="IF103" s="14"/>
      <c r="IG103" s="14"/>
      <c r="IH103" s="14"/>
      <c r="II103" s="14"/>
      <c r="IJ103" s="14"/>
      <c r="IK103" s="14"/>
      <c r="IL103" s="14"/>
      <c r="IM103" s="14"/>
      <c r="IN103" s="14"/>
      <c r="IO103" s="14"/>
      <c r="IP103" s="14"/>
      <c r="IQ103" s="14"/>
      <c r="IR103" s="14"/>
      <c r="IS103" s="14"/>
      <c r="IT103" s="14"/>
      <c r="IU103" s="14"/>
      <c r="IV103" s="14"/>
    </row>
    <row r="104" spans="2:256" ht="30" customHeight="1" x14ac:dyDescent="0.25">
      <c r="B104" s="14"/>
      <c r="C104" s="143">
        <v>315101.92</v>
      </c>
      <c r="D104" s="103" t="s">
        <v>550</v>
      </c>
      <c r="E104" s="104"/>
      <c r="F104" s="105"/>
      <c r="G104" s="126"/>
      <c r="H104" s="104"/>
      <c r="I104" s="104"/>
      <c r="J104" s="154"/>
      <c r="K104" s="107"/>
      <c r="L104" s="107"/>
      <c r="M104" s="107"/>
      <c r="N104" s="108"/>
      <c r="O104" s="109"/>
      <c r="P104" s="109"/>
      <c r="Q104" s="109"/>
      <c r="R104" s="107"/>
      <c r="S104" s="107"/>
      <c r="T104" s="107">
        <f t="shared" si="35"/>
        <v>0</v>
      </c>
      <c r="U104" s="107">
        <v>16066</v>
      </c>
      <c r="V104" s="107">
        <v>8074</v>
      </c>
      <c r="W104" s="107">
        <f t="shared" si="30"/>
        <v>16148</v>
      </c>
      <c r="X104" s="110">
        <f>U104</f>
        <v>16066</v>
      </c>
      <c r="Y104" s="107">
        <v>13457</v>
      </c>
      <c r="Z104" s="107">
        <f t="shared" si="28"/>
        <v>16148.4</v>
      </c>
      <c r="AA104" s="110">
        <v>16000</v>
      </c>
      <c r="AB104" s="110">
        <f>12137+1349</f>
        <v>13486</v>
      </c>
      <c r="AC104" s="110">
        <v>16000</v>
      </c>
      <c r="AD104" s="108">
        <f t="shared" si="36"/>
        <v>16000</v>
      </c>
      <c r="AE104" s="107">
        <v>16000</v>
      </c>
      <c r="AF104" s="107">
        <v>16000</v>
      </c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  <c r="GS104" s="14"/>
      <c r="GT104" s="14"/>
      <c r="GU104" s="14"/>
      <c r="GV104" s="14"/>
      <c r="GW104" s="14"/>
      <c r="GX104" s="14"/>
      <c r="GY104" s="14"/>
      <c r="GZ104" s="14"/>
      <c r="HA104" s="14"/>
      <c r="HB104" s="14"/>
      <c r="HC104" s="14"/>
      <c r="HD104" s="14"/>
      <c r="HE104" s="14"/>
      <c r="HF104" s="14"/>
      <c r="HG104" s="14"/>
      <c r="HH104" s="14"/>
      <c r="HI104" s="14"/>
      <c r="HJ104" s="14"/>
      <c r="HK104" s="14"/>
      <c r="HL104" s="14"/>
      <c r="HM104" s="14"/>
      <c r="HN104" s="14"/>
      <c r="HO104" s="14"/>
      <c r="HP104" s="14"/>
      <c r="HQ104" s="14"/>
      <c r="HR104" s="14"/>
      <c r="HS104" s="14"/>
      <c r="HT104" s="14"/>
      <c r="HU104" s="14"/>
      <c r="HV104" s="14"/>
      <c r="HW104" s="14"/>
      <c r="HX104" s="14"/>
      <c r="HY104" s="14"/>
      <c r="HZ104" s="14"/>
      <c r="IA104" s="14"/>
      <c r="IB104" s="14"/>
      <c r="IC104" s="14"/>
      <c r="ID104" s="14"/>
      <c r="IE104" s="14"/>
      <c r="IF104" s="14"/>
      <c r="IG104" s="14"/>
      <c r="IH104" s="14"/>
      <c r="II104" s="14"/>
      <c r="IJ104" s="14"/>
      <c r="IK104" s="14"/>
      <c r="IL104" s="14"/>
      <c r="IM104" s="14"/>
      <c r="IN104" s="14"/>
      <c r="IO104" s="14"/>
      <c r="IP104" s="14"/>
      <c r="IQ104" s="14"/>
      <c r="IR104" s="14"/>
      <c r="IS104" s="14"/>
      <c r="IT104" s="14"/>
      <c r="IU104" s="14"/>
      <c r="IV104" s="14"/>
    </row>
    <row r="105" spans="2:256" ht="30" customHeight="1" x14ac:dyDescent="0.25">
      <c r="B105" s="14"/>
      <c r="C105" s="143">
        <v>315173.92</v>
      </c>
      <c r="D105" s="103" t="s">
        <v>552</v>
      </c>
      <c r="E105" s="104"/>
      <c r="F105" s="105"/>
      <c r="G105" s="126"/>
      <c r="H105" s="104"/>
      <c r="I105" s="104"/>
      <c r="J105" s="154"/>
      <c r="K105" s="107"/>
      <c r="L105" s="107"/>
      <c r="M105" s="107"/>
      <c r="N105" s="108"/>
      <c r="O105" s="109"/>
      <c r="P105" s="109"/>
      <c r="Q105" s="109"/>
      <c r="R105" s="107"/>
      <c r="S105" s="107"/>
      <c r="T105" s="107">
        <f t="shared" si="35"/>
        <v>0</v>
      </c>
      <c r="U105" s="107">
        <v>496138</v>
      </c>
      <c r="V105" s="107">
        <v>264300</v>
      </c>
      <c r="W105" s="107">
        <f t="shared" si="30"/>
        <v>528600</v>
      </c>
      <c r="X105" s="110">
        <v>529000</v>
      </c>
      <c r="Y105" s="107">
        <v>451466</v>
      </c>
      <c r="Z105" s="107">
        <f t="shared" si="28"/>
        <v>541759.19999999995</v>
      </c>
      <c r="AA105" s="110">
        <v>540000</v>
      </c>
      <c r="AB105" s="110">
        <f>479933+55167</f>
        <v>535100</v>
      </c>
      <c r="AC105" s="110">
        <v>642000</v>
      </c>
      <c r="AD105" s="108">
        <f t="shared" si="36"/>
        <v>642000</v>
      </c>
      <c r="AE105" s="107">
        <v>720000</v>
      </c>
      <c r="AF105" s="107">
        <v>870000</v>
      </c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  <c r="GS105" s="14"/>
      <c r="GT105" s="14"/>
      <c r="GU105" s="14"/>
      <c r="GV105" s="14"/>
      <c r="GW105" s="14"/>
      <c r="GX105" s="14"/>
      <c r="GY105" s="14"/>
      <c r="GZ105" s="14"/>
      <c r="HA105" s="14"/>
      <c r="HB105" s="14"/>
      <c r="HC105" s="14"/>
      <c r="HD105" s="14"/>
      <c r="HE105" s="14"/>
      <c r="HF105" s="14"/>
      <c r="HG105" s="14"/>
      <c r="HH105" s="14"/>
      <c r="HI105" s="14"/>
      <c r="HJ105" s="14"/>
      <c r="HK105" s="14"/>
      <c r="HL105" s="14"/>
      <c r="HM105" s="14"/>
      <c r="HN105" s="14"/>
      <c r="HO105" s="14"/>
      <c r="HP105" s="14"/>
      <c r="HQ105" s="14"/>
      <c r="HR105" s="14"/>
      <c r="HS105" s="14"/>
      <c r="HT105" s="14"/>
      <c r="HU105" s="14"/>
      <c r="HV105" s="14"/>
      <c r="HW105" s="14"/>
      <c r="HX105" s="14"/>
      <c r="HY105" s="14"/>
      <c r="HZ105" s="14"/>
      <c r="IA105" s="14"/>
      <c r="IB105" s="14"/>
      <c r="IC105" s="14"/>
      <c r="ID105" s="14"/>
      <c r="IE105" s="14"/>
      <c r="IF105" s="14"/>
      <c r="IG105" s="14"/>
      <c r="IH105" s="14"/>
      <c r="II105" s="14"/>
      <c r="IJ105" s="14"/>
      <c r="IK105" s="14"/>
      <c r="IL105" s="14"/>
      <c r="IM105" s="14"/>
      <c r="IN105" s="14"/>
      <c r="IO105" s="14"/>
      <c r="IP105" s="14"/>
      <c r="IQ105" s="14"/>
      <c r="IR105" s="14"/>
      <c r="IS105" s="14"/>
      <c r="IT105" s="14"/>
      <c r="IU105" s="14"/>
      <c r="IV105" s="14"/>
    </row>
    <row r="106" spans="2:256" ht="30" customHeight="1" x14ac:dyDescent="0.25">
      <c r="B106" s="14"/>
      <c r="C106" s="143">
        <v>315177.92</v>
      </c>
      <c r="D106" s="103" t="s">
        <v>551</v>
      </c>
      <c r="E106" s="104"/>
      <c r="F106" s="105"/>
      <c r="G106" s="126"/>
      <c r="H106" s="104"/>
      <c r="I106" s="104"/>
      <c r="J106" s="154"/>
      <c r="K106" s="107"/>
      <c r="L106" s="107"/>
      <c r="M106" s="107"/>
      <c r="N106" s="108"/>
      <c r="O106" s="109"/>
      <c r="P106" s="109"/>
      <c r="Q106" s="109"/>
      <c r="R106" s="107"/>
      <c r="S106" s="107"/>
      <c r="T106" s="107">
        <f t="shared" si="35"/>
        <v>0</v>
      </c>
      <c r="U106" s="107">
        <v>304923</v>
      </c>
      <c r="V106" s="107">
        <v>190903.27</v>
      </c>
      <c r="W106" s="107">
        <f t="shared" si="30"/>
        <v>381806.54</v>
      </c>
      <c r="X106" s="110">
        <v>382000</v>
      </c>
      <c r="Y106" s="107">
        <v>321408</v>
      </c>
      <c r="Z106" s="107">
        <f t="shared" si="28"/>
        <v>385689.59999999998</v>
      </c>
      <c r="AA106" s="110">
        <v>393000</v>
      </c>
      <c r="AB106" s="110">
        <f>345028+39047</f>
        <v>384075</v>
      </c>
      <c r="AC106" s="110">
        <v>460000</v>
      </c>
      <c r="AD106" s="108">
        <f t="shared" si="36"/>
        <v>460000</v>
      </c>
      <c r="AE106" s="107">
        <v>481000</v>
      </c>
      <c r="AF106" s="107">
        <v>580000</v>
      </c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</row>
    <row r="107" spans="2:256" ht="30" customHeight="1" x14ac:dyDescent="0.25">
      <c r="B107" s="14"/>
      <c r="C107" s="143">
        <v>315200.42</v>
      </c>
      <c r="D107" s="103" t="s">
        <v>301</v>
      </c>
      <c r="E107" s="104">
        <v>40000</v>
      </c>
      <c r="F107" s="105"/>
      <c r="G107" s="160">
        <v>5000</v>
      </c>
      <c r="H107" s="104">
        <v>35000</v>
      </c>
      <c r="I107" s="104">
        <f>4/3</f>
        <v>1.3333333333333333</v>
      </c>
      <c r="J107" s="154"/>
      <c r="K107" s="107">
        <v>50000</v>
      </c>
      <c r="L107" s="107">
        <v>2044</v>
      </c>
      <c r="M107" s="107">
        <v>54171.71</v>
      </c>
      <c r="N107" s="108"/>
      <c r="O107" s="109">
        <f>M107*4/3</f>
        <v>72228.94666666667</v>
      </c>
      <c r="P107" s="109">
        <v>18000</v>
      </c>
      <c r="Q107" s="109">
        <f>P107/7*5</f>
        <v>12857.142857142859</v>
      </c>
      <c r="R107" s="107">
        <v>80000</v>
      </c>
      <c r="S107" s="107">
        <v>80000</v>
      </c>
      <c r="T107" s="107">
        <f t="shared" si="35"/>
        <v>30857.142857142859</v>
      </c>
      <c r="U107" s="107">
        <f>S107</f>
        <v>80000</v>
      </c>
      <c r="V107" s="107">
        <v>2179.27</v>
      </c>
      <c r="W107" s="107">
        <f t="shared" si="30"/>
        <v>4358.54</v>
      </c>
      <c r="X107" s="110">
        <v>40000</v>
      </c>
      <c r="Y107" s="107">
        <v>3237</v>
      </c>
      <c r="Z107" s="107">
        <f t="shared" si="28"/>
        <v>3884.4</v>
      </c>
      <c r="AA107" s="110"/>
      <c r="AB107" s="110">
        <v>2228</v>
      </c>
      <c r="AC107" s="110">
        <v>3000</v>
      </c>
      <c r="AD107" s="108">
        <f t="shared" si="36"/>
        <v>3000</v>
      </c>
      <c r="AE107" s="107"/>
      <c r="AF107" s="107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</row>
    <row r="108" spans="2:256" ht="30" customHeight="1" x14ac:dyDescent="0.25">
      <c r="B108" s="14">
        <v>12978032</v>
      </c>
      <c r="C108" s="102">
        <v>315200.92</v>
      </c>
      <c r="D108" s="103" t="s">
        <v>302</v>
      </c>
      <c r="E108" s="146">
        <v>21750000</v>
      </c>
      <c r="F108" s="105"/>
      <c r="G108" s="126">
        <v>18971469</v>
      </c>
      <c r="H108" s="146">
        <v>20750000</v>
      </c>
      <c r="I108" s="104">
        <f>4/3</f>
        <v>1.3333333333333333</v>
      </c>
      <c r="J108" s="154"/>
      <c r="K108" s="107">
        <v>21115000</v>
      </c>
      <c r="L108" s="107">
        <v>14965000</v>
      </c>
      <c r="M108" s="107">
        <v>18420579.940000001</v>
      </c>
      <c r="N108" s="108"/>
      <c r="O108" s="109">
        <v>22500000</v>
      </c>
      <c r="P108" s="109">
        <v>18416000</v>
      </c>
      <c r="Q108" s="109">
        <f>P108/7*5</f>
        <v>13154285.714285713</v>
      </c>
      <c r="R108" s="107">
        <v>22500000</v>
      </c>
      <c r="S108" s="107">
        <v>30093000</v>
      </c>
      <c r="T108" s="107">
        <f t="shared" si="35"/>
        <v>31570285.714285713</v>
      </c>
      <c r="U108" s="107">
        <v>0</v>
      </c>
      <c r="V108" s="107"/>
      <c r="W108" s="107">
        <f t="shared" si="30"/>
        <v>0</v>
      </c>
      <c r="X108" s="110">
        <f>U108</f>
        <v>0</v>
      </c>
      <c r="Y108" s="107">
        <v>21501</v>
      </c>
      <c r="Z108" s="107">
        <f t="shared" si="28"/>
        <v>25801.200000000001</v>
      </c>
      <c r="AA108" s="110"/>
      <c r="AB108" s="110">
        <v>22096</v>
      </c>
      <c r="AC108" s="110">
        <v>26500</v>
      </c>
      <c r="AD108" s="108">
        <f t="shared" si="36"/>
        <v>26500</v>
      </c>
      <c r="AE108" s="107">
        <v>80000</v>
      </c>
      <c r="AF108" s="107">
        <v>80000</v>
      </c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  <c r="GS108" s="14"/>
      <c r="GT108" s="14"/>
      <c r="GU108" s="14"/>
      <c r="GV108" s="14"/>
      <c r="GW108" s="14"/>
      <c r="GX108" s="14"/>
      <c r="GY108" s="14"/>
      <c r="GZ108" s="14"/>
      <c r="HA108" s="14"/>
      <c r="HB108" s="14"/>
      <c r="HC108" s="14"/>
      <c r="HD108" s="14"/>
      <c r="HE108" s="14"/>
      <c r="HF108" s="14"/>
      <c r="HG108" s="14"/>
      <c r="HH108" s="14"/>
      <c r="HI108" s="14"/>
      <c r="HJ108" s="14"/>
      <c r="HK108" s="14"/>
      <c r="HL108" s="14"/>
      <c r="HM108" s="14"/>
      <c r="HN108" s="14"/>
      <c r="HO108" s="14"/>
      <c r="HP108" s="14"/>
      <c r="HQ108" s="14"/>
      <c r="HR108" s="14"/>
      <c r="HS108" s="14"/>
      <c r="HT108" s="14"/>
      <c r="HU108" s="14"/>
      <c r="HV108" s="14"/>
      <c r="HW108" s="14"/>
      <c r="HX108" s="14"/>
      <c r="HY108" s="14"/>
      <c r="HZ108" s="14"/>
      <c r="IA108" s="14"/>
      <c r="IB108" s="14"/>
      <c r="IC108" s="14"/>
      <c r="ID108" s="14"/>
      <c r="IE108" s="14"/>
      <c r="IF108" s="14"/>
      <c r="IG108" s="14"/>
      <c r="IH108" s="14"/>
      <c r="II108" s="14"/>
      <c r="IJ108" s="14"/>
      <c r="IK108" s="14"/>
      <c r="IL108" s="14"/>
      <c r="IM108" s="14"/>
      <c r="IN108" s="14"/>
      <c r="IO108" s="14"/>
      <c r="IP108" s="14"/>
      <c r="IQ108" s="14"/>
      <c r="IR108" s="14"/>
      <c r="IS108" s="14"/>
      <c r="IT108" s="14"/>
      <c r="IU108" s="14"/>
      <c r="IV108" s="14"/>
    </row>
    <row r="109" spans="2:256" ht="30" customHeight="1" x14ac:dyDescent="0.25">
      <c r="B109" s="14"/>
      <c r="C109" s="102">
        <v>315234.92</v>
      </c>
      <c r="D109" s="103" t="s">
        <v>585</v>
      </c>
      <c r="E109" s="146"/>
      <c r="F109" s="105"/>
      <c r="G109" s="126"/>
      <c r="H109" s="146"/>
      <c r="I109" s="104"/>
      <c r="J109" s="154"/>
      <c r="K109" s="107"/>
      <c r="L109" s="107"/>
      <c r="M109" s="107"/>
      <c r="N109" s="108"/>
      <c r="O109" s="109"/>
      <c r="P109" s="109"/>
      <c r="Q109" s="109"/>
      <c r="R109" s="107"/>
      <c r="S109" s="107"/>
      <c r="T109" s="107">
        <f t="shared" si="35"/>
        <v>0</v>
      </c>
      <c r="U109" s="107">
        <v>43296</v>
      </c>
      <c r="V109" s="107">
        <f>29708.8+12379.14</f>
        <v>42087.94</v>
      </c>
      <c r="W109" s="107">
        <f t="shared" si="30"/>
        <v>84175.88</v>
      </c>
      <c r="X109" s="110">
        <v>84000</v>
      </c>
      <c r="Y109" s="107">
        <v>44422</v>
      </c>
      <c r="Z109" s="107">
        <f t="shared" si="28"/>
        <v>53306.400000000001</v>
      </c>
      <c r="AA109" s="110">
        <v>45000</v>
      </c>
      <c r="AB109" s="110">
        <v>44282</v>
      </c>
      <c r="AC109" s="110">
        <v>53000</v>
      </c>
      <c r="AD109" s="108">
        <f t="shared" si="36"/>
        <v>53000</v>
      </c>
      <c r="AE109" s="107">
        <v>40000</v>
      </c>
      <c r="AF109" s="107">
        <v>40000</v>
      </c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  <c r="GS109" s="14"/>
      <c r="GT109" s="14"/>
      <c r="GU109" s="14"/>
      <c r="GV109" s="14"/>
      <c r="GW109" s="14"/>
      <c r="GX109" s="14"/>
      <c r="GY109" s="14"/>
      <c r="GZ109" s="14"/>
      <c r="HA109" s="14"/>
      <c r="HB109" s="14"/>
      <c r="HC109" s="14"/>
      <c r="HD109" s="14"/>
      <c r="HE109" s="14"/>
      <c r="HF109" s="14"/>
      <c r="HG109" s="14"/>
      <c r="HH109" s="14"/>
      <c r="HI109" s="14"/>
      <c r="HJ109" s="14"/>
      <c r="HK109" s="14"/>
      <c r="HL109" s="14"/>
      <c r="HM109" s="14"/>
      <c r="HN109" s="14"/>
      <c r="HO109" s="14"/>
      <c r="HP109" s="14"/>
      <c r="HQ109" s="14"/>
      <c r="HR109" s="14"/>
      <c r="HS109" s="14"/>
      <c r="HT109" s="14"/>
      <c r="HU109" s="14"/>
      <c r="HV109" s="14"/>
      <c r="HW109" s="14"/>
      <c r="HX109" s="14"/>
      <c r="HY109" s="14"/>
      <c r="HZ109" s="14"/>
      <c r="IA109" s="14"/>
      <c r="IB109" s="14"/>
      <c r="IC109" s="14"/>
      <c r="ID109" s="14"/>
      <c r="IE109" s="14"/>
      <c r="IF109" s="14"/>
      <c r="IG109" s="14"/>
      <c r="IH109" s="14"/>
      <c r="II109" s="14"/>
      <c r="IJ109" s="14"/>
      <c r="IK109" s="14"/>
      <c r="IL109" s="14"/>
      <c r="IM109" s="14"/>
      <c r="IN109" s="14"/>
      <c r="IO109" s="14"/>
      <c r="IP109" s="14"/>
      <c r="IQ109" s="14"/>
      <c r="IR109" s="14"/>
      <c r="IS109" s="14"/>
      <c r="IT109" s="14"/>
      <c r="IU109" s="14"/>
      <c r="IV109" s="14"/>
    </row>
    <row r="110" spans="2:256" ht="30" customHeight="1" x14ac:dyDescent="0.25">
      <c r="B110" s="14"/>
      <c r="C110" s="102">
        <v>315240.92</v>
      </c>
      <c r="D110" s="103" t="s">
        <v>553</v>
      </c>
      <c r="E110" s="146"/>
      <c r="F110" s="105"/>
      <c r="G110" s="126"/>
      <c r="H110" s="146"/>
      <c r="I110" s="104"/>
      <c r="J110" s="154"/>
      <c r="K110" s="107"/>
      <c r="L110" s="107"/>
      <c r="M110" s="107"/>
      <c r="N110" s="108"/>
      <c r="O110" s="109"/>
      <c r="P110" s="109"/>
      <c r="Q110" s="109"/>
      <c r="R110" s="107"/>
      <c r="S110" s="107"/>
      <c r="T110" s="107">
        <f t="shared" si="35"/>
        <v>0</v>
      </c>
      <c r="U110" s="107">
        <v>132755</v>
      </c>
      <c r="V110" s="107">
        <v>116381.7</v>
      </c>
      <c r="W110" s="107">
        <f t="shared" si="30"/>
        <v>232763.4</v>
      </c>
      <c r="X110" s="110">
        <v>232000</v>
      </c>
      <c r="Y110" s="107">
        <v>189826</v>
      </c>
      <c r="Z110" s="107">
        <f t="shared" si="28"/>
        <v>227791.2</v>
      </c>
      <c r="AA110" s="110">
        <v>206000</v>
      </c>
      <c r="AB110" s="110">
        <f>193333+40000+9861</f>
        <v>243194</v>
      </c>
      <c r="AC110" s="110">
        <v>275000</v>
      </c>
      <c r="AD110" s="108">
        <f t="shared" si="36"/>
        <v>275000</v>
      </c>
      <c r="AE110" s="107">
        <v>280000</v>
      </c>
      <c r="AF110" s="107">
        <v>520000</v>
      </c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  <c r="GS110" s="14"/>
      <c r="GT110" s="14"/>
      <c r="GU110" s="14"/>
      <c r="GV110" s="14"/>
      <c r="GW110" s="14"/>
      <c r="GX110" s="14"/>
      <c r="GY110" s="14"/>
      <c r="GZ110" s="14"/>
      <c r="HA110" s="14"/>
      <c r="HB110" s="14"/>
      <c r="HC110" s="14"/>
      <c r="HD110" s="14"/>
      <c r="HE110" s="14"/>
      <c r="HF110" s="14"/>
      <c r="HG110" s="14"/>
      <c r="HH110" s="14"/>
      <c r="HI110" s="14"/>
      <c r="HJ110" s="14"/>
      <c r="HK110" s="14"/>
      <c r="HL110" s="14"/>
      <c r="HM110" s="14"/>
      <c r="HN110" s="14"/>
      <c r="HO110" s="14"/>
      <c r="HP110" s="14"/>
      <c r="HQ110" s="14"/>
      <c r="HR110" s="14"/>
      <c r="HS110" s="14"/>
      <c r="HT110" s="14"/>
      <c r="HU110" s="14"/>
      <c r="HV110" s="14"/>
      <c r="HW110" s="14"/>
      <c r="HX110" s="14"/>
      <c r="HY110" s="14"/>
      <c r="HZ110" s="14"/>
      <c r="IA110" s="14"/>
      <c r="IB110" s="14"/>
      <c r="IC110" s="14"/>
      <c r="ID110" s="14"/>
      <c r="IE110" s="14"/>
      <c r="IF110" s="14"/>
      <c r="IG110" s="14"/>
      <c r="IH110" s="14"/>
      <c r="II110" s="14"/>
      <c r="IJ110" s="14"/>
      <c r="IK110" s="14"/>
      <c r="IL110" s="14"/>
      <c r="IM110" s="14"/>
      <c r="IN110" s="14"/>
      <c r="IO110" s="14"/>
      <c r="IP110" s="14"/>
      <c r="IQ110" s="14"/>
      <c r="IR110" s="14"/>
      <c r="IS110" s="14"/>
      <c r="IT110" s="14"/>
      <c r="IU110" s="14"/>
      <c r="IV110" s="14"/>
    </row>
    <row r="111" spans="2:256" ht="30" customHeight="1" x14ac:dyDescent="0.25">
      <c r="B111" s="14"/>
      <c r="C111" s="102">
        <v>315316.92</v>
      </c>
      <c r="D111" s="103" t="s">
        <v>554</v>
      </c>
      <c r="E111" s="146"/>
      <c r="F111" s="105"/>
      <c r="G111" s="126"/>
      <c r="H111" s="146"/>
      <c r="I111" s="104"/>
      <c r="J111" s="154"/>
      <c r="K111" s="107"/>
      <c r="L111" s="107"/>
      <c r="M111" s="107"/>
      <c r="N111" s="108"/>
      <c r="O111" s="109"/>
      <c r="P111" s="109"/>
      <c r="Q111" s="109"/>
      <c r="R111" s="107"/>
      <c r="S111" s="107"/>
      <c r="T111" s="107">
        <f t="shared" si="35"/>
        <v>0</v>
      </c>
      <c r="U111" s="107">
        <v>69597</v>
      </c>
      <c r="V111" s="107">
        <v>38801.300000000003</v>
      </c>
      <c r="W111" s="107">
        <f t="shared" si="30"/>
        <v>77602.600000000006</v>
      </c>
      <c r="X111" s="110">
        <v>77603</v>
      </c>
      <c r="Y111" s="107">
        <v>68304</v>
      </c>
      <c r="Z111" s="107">
        <f t="shared" si="28"/>
        <v>81964.800000000003</v>
      </c>
      <c r="AA111" s="110">
        <v>96000</v>
      </c>
      <c r="AB111" s="110">
        <v>70657</v>
      </c>
      <c r="AC111" s="110">
        <v>85000</v>
      </c>
      <c r="AD111" s="108">
        <f t="shared" si="36"/>
        <v>85000</v>
      </c>
      <c r="AE111" s="107">
        <v>82000</v>
      </c>
      <c r="AF111" s="107">
        <v>82000</v>
      </c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  <c r="GS111" s="14"/>
      <c r="GT111" s="14"/>
      <c r="GU111" s="14"/>
      <c r="GV111" s="14"/>
      <c r="GW111" s="14"/>
      <c r="GX111" s="14"/>
      <c r="GY111" s="14"/>
      <c r="GZ111" s="14"/>
      <c r="HA111" s="14"/>
      <c r="HB111" s="14"/>
      <c r="HC111" s="14"/>
      <c r="HD111" s="14"/>
      <c r="HE111" s="14"/>
      <c r="HF111" s="14"/>
      <c r="HG111" s="14"/>
      <c r="HH111" s="14"/>
      <c r="HI111" s="14"/>
      <c r="HJ111" s="14"/>
      <c r="HK111" s="14"/>
      <c r="HL111" s="14"/>
      <c r="HM111" s="14"/>
      <c r="HN111" s="14"/>
      <c r="HO111" s="14"/>
      <c r="HP111" s="14"/>
      <c r="HQ111" s="14"/>
      <c r="HR111" s="14"/>
      <c r="HS111" s="14"/>
      <c r="HT111" s="14"/>
      <c r="HU111" s="14"/>
      <c r="HV111" s="14"/>
      <c r="HW111" s="14"/>
      <c r="HX111" s="14"/>
      <c r="HY111" s="14"/>
      <c r="HZ111" s="14"/>
      <c r="IA111" s="14"/>
      <c r="IB111" s="14"/>
      <c r="IC111" s="14"/>
      <c r="ID111" s="14"/>
      <c r="IE111" s="14"/>
      <c r="IF111" s="14"/>
      <c r="IG111" s="14"/>
      <c r="IH111" s="14"/>
      <c r="II111" s="14"/>
      <c r="IJ111" s="14"/>
      <c r="IK111" s="14"/>
      <c r="IL111" s="14"/>
      <c r="IM111" s="14"/>
      <c r="IN111" s="14"/>
      <c r="IO111" s="14"/>
      <c r="IP111" s="14"/>
      <c r="IQ111" s="14"/>
      <c r="IR111" s="14"/>
      <c r="IS111" s="14"/>
      <c r="IT111" s="14"/>
      <c r="IU111" s="14"/>
      <c r="IV111" s="14"/>
    </row>
    <row r="112" spans="2:256" ht="30" customHeight="1" x14ac:dyDescent="0.25">
      <c r="B112" s="14"/>
      <c r="C112" s="102">
        <v>315446.92</v>
      </c>
      <c r="D112" s="103" t="s">
        <v>555</v>
      </c>
      <c r="E112" s="146"/>
      <c r="F112" s="105"/>
      <c r="G112" s="126"/>
      <c r="H112" s="146"/>
      <c r="I112" s="104"/>
      <c r="J112" s="154"/>
      <c r="K112" s="107"/>
      <c r="L112" s="107"/>
      <c r="M112" s="107"/>
      <c r="N112" s="108"/>
      <c r="O112" s="109"/>
      <c r="P112" s="109"/>
      <c r="Q112" s="109"/>
      <c r="R112" s="107"/>
      <c r="S112" s="107"/>
      <c r="T112" s="107">
        <f t="shared" si="35"/>
        <v>0</v>
      </c>
      <c r="U112" s="107">
        <v>1167332</v>
      </c>
      <c r="V112" s="107">
        <v>777039.97</v>
      </c>
      <c r="W112" s="107">
        <f t="shared" si="30"/>
        <v>1554079.94</v>
      </c>
      <c r="X112" s="110">
        <v>1550000</v>
      </c>
      <c r="Y112" s="107">
        <v>1531193</v>
      </c>
      <c r="Z112" s="107">
        <f t="shared" si="28"/>
        <v>1837431.6</v>
      </c>
      <c r="AA112" s="110">
        <v>1650000</v>
      </c>
      <c r="AB112" s="110">
        <f>1740647+201266</f>
        <v>1941913</v>
      </c>
      <c r="AC112" s="110">
        <v>2330000</v>
      </c>
      <c r="AD112" s="108">
        <f t="shared" si="36"/>
        <v>2330000</v>
      </c>
      <c r="AE112" s="107">
        <v>2542000</v>
      </c>
      <c r="AF112" s="107">
        <v>3100000</v>
      </c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  <c r="GS112" s="14"/>
      <c r="GT112" s="14"/>
      <c r="GU112" s="14"/>
      <c r="GV112" s="14"/>
      <c r="GW112" s="14"/>
      <c r="GX112" s="14"/>
      <c r="GY112" s="14"/>
      <c r="GZ112" s="14"/>
      <c r="HA112" s="14"/>
      <c r="HB112" s="14"/>
      <c r="HC112" s="14"/>
      <c r="HD112" s="14"/>
      <c r="HE112" s="14"/>
      <c r="HF112" s="14"/>
      <c r="HG112" s="14"/>
      <c r="HH112" s="14"/>
      <c r="HI112" s="14"/>
      <c r="HJ112" s="14"/>
      <c r="HK112" s="14"/>
      <c r="HL112" s="14"/>
      <c r="HM112" s="14"/>
      <c r="HN112" s="14"/>
      <c r="HO112" s="14"/>
      <c r="HP112" s="14"/>
      <c r="HQ112" s="14"/>
      <c r="HR112" s="14"/>
      <c r="HS112" s="14"/>
      <c r="HT112" s="14"/>
      <c r="HU112" s="14"/>
      <c r="HV112" s="14"/>
      <c r="HW112" s="14"/>
      <c r="HX112" s="14"/>
      <c r="HY112" s="14"/>
      <c r="HZ112" s="14"/>
      <c r="IA112" s="14"/>
      <c r="IB112" s="14"/>
      <c r="IC112" s="14"/>
      <c r="ID112" s="14"/>
      <c r="IE112" s="14"/>
      <c r="IF112" s="14"/>
      <c r="IG112" s="14"/>
      <c r="IH112" s="14"/>
      <c r="II112" s="14"/>
      <c r="IJ112" s="14"/>
      <c r="IK112" s="14"/>
      <c r="IL112" s="14"/>
      <c r="IM112" s="14"/>
      <c r="IN112" s="14"/>
      <c r="IO112" s="14"/>
      <c r="IP112" s="14"/>
      <c r="IQ112" s="14"/>
      <c r="IR112" s="14"/>
      <c r="IS112" s="14"/>
      <c r="IT112" s="14"/>
      <c r="IU112" s="14"/>
      <c r="IV112" s="14"/>
    </row>
    <row r="113" spans="2:256" ht="30" customHeight="1" x14ac:dyDescent="0.25">
      <c r="B113" s="14"/>
      <c r="C113" s="102">
        <v>315456.92</v>
      </c>
      <c r="D113" s="103" t="s">
        <v>556</v>
      </c>
      <c r="E113" s="146"/>
      <c r="F113" s="105"/>
      <c r="G113" s="126"/>
      <c r="H113" s="146"/>
      <c r="I113" s="104"/>
      <c r="J113" s="154"/>
      <c r="K113" s="107"/>
      <c r="L113" s="107"/>
      <c r="M113" s="107"/>
      <c r="N113" s="108"/>
      <c r="O113" s="109"/>
      <c r="P113" s="109"/>
      <c r="Q113" s="109"/>
      <c r="R113" s="107"/>
      <c r="S113" s="107"/>
      <c r="T113" s="107">
        <f t="shared" si="35"/>
        <v>0</v>
      </c>
      <c r="U113" s="107">
        <v>60902</v>
      </c>
      <c r="V113" s="107">
        <v>60080</v>
      </c>
      <c r="W113" s="107">
        <f t="shared" si="30"/>
        <v>120160</v>
      </c>
      <c r="X113" s="110">
        <v>120000</v>
      </c>
      <c r="Y113" s="107">
        <v>71724</v>
      </c>
      <c r="Z113" s="107">
        <f t="shared" si="28"/>
        <v>86068.800000000003</v>
      </c>
      <c r="AA113" s="110">
        <v>65000</v>
      </c>
      <c r="AB113" s="110">
        <f>26428+6030</f>
        <v>32458</v>
      </c>
      <c r="AC113" s="110">
        <v>39000</v>
      </c>
      <c r="AD113" s="108">
        <f t="shared" si="36"/>
        <v>39000</v>
      </c>
      <c r="AE113" s="107">
        <v>39000</v>
      </c>
      <c r="AF113" s="107">
        <v>39000</v>
      </c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  <c r="GS113" s="14"/>
      <c r="GT113" s="14"/>
      <c r="GU113" s="14"/>
      <c r="GV113" s="14"/>
      <c r="GW113" s="14"/>
      <c r="GX113" s="14"/>
      <c r="GY113" s="14"/>
      <c r="GZ113" s="14"/>
      <c r="HA113" s="14"/>
      <c r="HB113" s="14"/>
      <c r="HC113" s="14"/>
      <c r="HD113" s="14"/>
      <c r="HE113" s="14"/>
      <c r="HF113" s="14"/>
      <c r="HG113" s="14"/>
      <c r="HH113" s="14"/>
      <c r="HI113" s="14"/>
      <c r="HJ113" s="14"/>
      <c r="HK113" s="14"/>
      <c r="HL113" s="14"/>
      <c r="HM113" s="14"/>
      <c r="HN113" s="14"/>
      <c r="HO113" s="14"/>
      <c r="HP113" s="14"/>
      <c r="HQ113" s="14"/>
      <c r="HR113" s="14"/>
      <c r="HS113" s="14"/>
      <c r="HT113" s="14"/>
      <c r="HU113" s="14"/>
      <c r="HV113" s="14"/>
      <c r="HW113" s="14"/>
      <c r="HX113" s="14"/>
      <c r="HY113" s="14"/>
      <c r="HZ113" s="14"/>
      <c r="IA113" s="14"/>
      <c r="IB113" s="14"/>
      <c r="IC113" s="14"/>
      <c r="ID113" s="14"/>
      <c r="IE113" s="14"/>
      <c r="IF113" s="14"/>
      <c r="IG113" s="14"/>
      <c r="IH113" s="14"/>
      <c r="II113" s="14"/>
      <c r="IJ113" s="14"/>
      <c r="IK113" s="14"/>
      <c r="IL113" s="14"/>
      <c r="IM113" s="14"/>
      <c r="IN113" s="14"/>
      <c r="IO113" s="14"/>
      <c r="IP113" s="14"/>
      <c r="IQ113" s="14"/>
      <c r="IR113" s="14"/>
      <c r="IS113" s="14"/>
      <c r="IT113" s="14"/>
      <c r="IU113" s="14"/>
      <c r="IV113" s="14"/>
    </row>
    <row r="114" spans="2:256" ht="30" customHeight="1" x14ac:dyDescent="0.25">
      <c r="B114" s="14"/>
      <c r="C114" s="102">
        <v>315470.92</v>
      </c>
      <c r="D114" s="103" t="s">
        <v>557</v>
      </c>
      <c r="E114" s="146"/>
      <c r="F114" s="105"/>
      <c r="G114" s="126"/>
      <c r="H114" s="146"/>
      <c r="I114" s="104"/>
      <c r="J114" s="154"/>
      <c r="K114" s="107"/>
      <c r="L114" s="107"/>
      <c r="M114" s="107"/>
      <c r="N114" s="108"/>
      <c r="O114" s="109"/>
      <c r="P114" s="109"/>
      <c r="Q114" s="109"/>
      <c r="R114" s="107"/>
      <c r="S114" s="107"/>
      <c r="T114" s="107">
        <f t="shared" si="35"/>
        <v>0</v>
      </c>
      <c r="U114" s="107">
        <v>97000</v>
      </c>
      <c r="V114" s="107">
        <v>0</v>
      </c>
      <c r="W114" s="107">
        <v>97000</v>
      </c>
      <c r="X114" s="110">
        <f>U114</f>
        <v>97000</v>
      </c>
      <c r="Y114" s="107"/>
      <c r="Z114" s="107">
        <f t="shared" si="28"/>
        <v>0</v>
      </c>
      <c r="AA114" s="110"/>
      <c r="AB114" s="110">
        <v>162375</v>
      </c>
      <c r="AC114" s="110">
        <v>320000</v>
      </c>
      <c r="AD114" s="108">
        <f t="shared" si="36"/>
        <v>320000</v>
      </c>
      <c r="AE114" s="107">
        <v>22000</v>
      </c>
      <c r="AF114" s="107">
        <v>22000</v>
      </c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  <c r="GS114" s="14"/>
      <c r="GT114" s="14"/>
      <c r="GU114" s="14"/>
      <c r="GV114" s="14"/>
      <c r="GW114" s="14"/>
      <c r="GX114" s="14"/>
      <c r="GY114" s="14"/>
      <c r="GZ114" s="14"/>
      <c r="HA114" s="14"/>
      <c r="HB114" s="14"/>
      <c r="HC114" s="14"/>
      <c r="HD114" s="14"/>
      <c r="HE114" s="14"/>
      <c r="HF114" s="14"/>
      <c r="HG114" s="14"/>
      <c r="HH114" s="14"/>
      <c r="HI114" s="14"/>
      <c r="HJ114" s="14"/>
      <c r="HK114" s="14"/>
      <c r="HL114" s="14"/>
      <c r="HM114" s="14"/>
      <c r="HN114" s="14"/>
      <c r="HO114" s="14"/>
      <c r="HP114" s="14"/>
      <c r="HQ114" s="14"/>
      <c r="HR114" s="14"/>
      <c r="HS114" s="14"/>
      <c r="HT114" s="14"/>
      <c r="HU114" s="14"/>
      <c r="HV114" s="14"/>
      <c r="HW114" s="14"/>
      <c r="HX114" s="14"/>
      <c r="HY114" s="14"/>
      <c r="HZ114" s="14"/>
      <c r="IA114" s="14"/>
      <c r="IB114" s="14"/>
      <c r="IC114" s="14"/>
      <c r="ID114" s="14"/>
      <c r="IE114" s="14"/>
      <c r="IF114" s="14"/>
      <c r="IG114" s="14"/>
      <c r="IH114" s="14"/>
      <c r="II114" s="14"/>
      <c r="IJ114" s="14"/>
      <c r="IK114" s="14"/>
      <c r="IL114" s="14"/>
      <c r="IM114" s="14"/>
      <c r="IN114" s="14"/>
      <c r="IO114" s="14"/>
      <c r="IP114" s="14"/>
      <c r="IQ114" s="14"/>
      <c r="IR114" s="14"/>
      <c r="IS114" s="14"/>
      <c r="IT114" s="14"/>
      <c r="IU114" s="14"/>
      <c r="IV114" s="14"/>
    </row>
    <row r="115" spans="2:256" ht="30" customHeight="1" x14ac:dyDescent="0.25">
      <c r="B115" s="14"/>
      <c r="C115" s="102">
        <v>315504.92</v>
      </c>
      <c r="D115" s="103" t="s">
        <v>558</v>
      </c>
      <c r="E115" s="146"/>
      <c r="F115" s="105"/>
      <c r="G115" s="126"/>
      <c r="H115" s="146"/>
      <c r="I115" s="104"/>
      <c r="J115" s="154"/>
      <c r="K115" s="107"/>
      <c r="L115" s="107"/>
      <c r="M115" s="107"/>
      <c r="N115" s="108"/>
      <c r="O115" s="109"/>
      <c r="P115" s="109"/>
      <c r="Q115" s="109"/>
      <c r="R115" s="107"/>
      <c r="S115" s="107"/>
      <c r="T115" s="107">
        <f t="shared" si="35"/>
        <v>0</v>
      </c>
      <c r="U115" s="107">
        <v>35672</v>
      </c>
      <c r="V115" s="107">
        <v>58844.68</v>
      </c>
      <c r="W115" s="107">
        <f t="shared" si="30"/>
        <v>117689.36</v>
      </c>
      <c r="X115" s="110">
        <v>118000</v>
      </c>
      <c r="Y115" s="107">
        <v>94755</v>
      </c>
      <c r="Z115" s="107">
        <f t="shared" si="28"/>
        <v>113706</v>
      </c>
      <c r="AA115" s="110">
        <v>107000</v>
      </c>
      <c r="AB115" s="110">
        <f>67252+4505</f>
        <v>71757</v>
      </c>
      <c r="AC115" s="110">
        <v>67000</v>
      </c>
      <c r="AD115" s="108">
        <f t="shared" si="36"/>
        <v>67000</v>
      </c>
      <c r="AE115" s="107">
        <v>65000</v>
      </c>
      <c r="AF115" s="107">
        <v>65000</v>
      </c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  <c r="FS115" s="14"/>
      <c r="FT115" s="14"/>
      <c r="FU115" s="14"/>
      <c r="FV115" s="14"/>
      <c r="FW115" s="14"/>
      <c r="FX115" s="14"/>
      <c r="FY115" s="14"/>
      <c r="FZ115" s="14"/>
      <c r="GA115" s="14"/>
      <c r="GB115" s="14"/>
      <c r="GC115" s="14"/>
      <c r="GD115" s="14"/>
      <c r="GE115" s="14"/>
      <c r="GF115" s="14"/>
      <c r="GG115" s="14"/>
      <c r="GH115" s="14"/>
      <c r="GI115" s="14"/>
      <c r="GJ115" s="14"/>
      <c r="GK115" s="14"/>
      <c r="GL115" s="14"/>
      <c r="GM115" s="14"/>
      <c r="GN115" s="14"/>
      <c r="GO115" s="14"/>
      <c r="GP115" s="14"/>
      <c r="GQ115" s="14"/>
      <c r="GR115" s="14"/>
      <c r="GS115" s="14"/>
      <c r="GT115" s="14"/>
      <c r="GU115" s="14"/>
      <c r="GV115" s="14"/>
      <c r="GW115" s="14"/>
      <c r="GX115" s="14"/>
      <c r="GY115" s="14"/>
      <c r="GZ115" s="14"/>
      <c r="HA115" s="14"/>
      <c r="HB115" s="14"/>
      <c r="HC115" s="14"/>
      <c r="HD115" s="14"/>
      <c r="HE115" s="14"/>
      <c r="HF115" s="14"/>
      <c r="HG115" s="14"/>
      <c r="HH115" s="14"/>
      <c r="HI115" s="14"/>
      <c r="HJ115" s="14"/>
      <c r="HK115" s="14"/>
      <c r="HL115" s="14"/>
      <c r="HM115" s="14"/>
      <c r="HN115" s="14"/>
      <c r="HO115" s="14"/>
      <c r="HP115" s="14"/>
      <c r="HQ115" s="14"/>
      <c r="HR115" s="14"/>
      <c r="HS115" s="14"/>
      <c r="HT115" s="14"/>
      <c r="HU115" s="14"/>
      <c r="HV115" s="14"/>
      <c r="HW115" s="14"/>
      <c r="HX115" s="14"/>
      <c r="HY115" s="14"/>
      <c r="HZ115" s="14"/>
      <c r="IA115" s="14"/>
      <c r="IB115" s="14"/>
      <c r="IC115" s="14"/>
      <c r="ID115" s="14"/>
      <c r="IE115" s="14"/>
      <c r="IF115" s="14"/>
      <c r="IG115" s="14"/>
      <c r="IH115" s="14"/>
      <c r="II115" s="14"/>
      <c r="IJ115" s="14"/>
      <c r="IK115" s="14"/>
      <c r="IL115" s="14"/>
      <c r="IM115" s="14"/>
      <c r="IN115" s="14"/>
      <c r="IO115" s="14"/>
      <c r="IP115" s="14"/>
      <c r="IQ115" s="14"/>
      <c r="IR115" s="14"/>
      <c r="IS115" s="14"/>
      <c r="IT115" s="14"/>
      <c r="IU115" s="14"/>
      <c r="IV115" s="14"/>
    </row>
    <row r="116" spans="2:256" ht="30" customHeight="1" x14ac:dyDescent="0.25">
      <c r="B116" s="14"/>
      <c r="C116" s="102">
        <v>315531.92</v>
      </c>
      <c r="D116" s="103" t="s">
        <v>559</v>
      </c>
      <c r="E116" s="146"/>
      <c r="F116" s="105"/>
      <c r="G116" s="126"/>
      <c r="H116" s="146"/>
      <c r="I116" s="104"/>
      <c r="J116" s="154"/>
      <c r="K116" s="107"/>
      <c r="L116" s="107"/>
      <c r="M116" s="107"/>
      <c r="N116" s="108"/>
      <c r="O116" s="109"/>
      <c r="P116" s="109"/>
      <c r="Q116" s="109"/>
      <c r="R116" s="107"/>
      <c r="S116" s="107"/>
      <c r="T116" s="107">
        <f t="shared" si="35"/>
        <v>0</v>
      </c>
      <c r="U116" s="107">
        <v>93200</v>
      </c>
      <c r="V116" s="107">
        <v>20052.189999999999</v>
      </c>
      <c r="W116" s="107">
        <f t="shared" si="30"/>
        <v>40104.379999999997</v>
      </c>
      <c r="X116" s="110">
        <f>U116</f>
        <v>93200</v>
      </c>
      <c r="Y116" s="107">
        <v>27085</v>
      </c>
      <c r="Z116" s="107">
        <f t="shared" si="28"/>
        <v>32502</v>
      </c>
      <c r="AA116" s="110">
        <v>36000</v>
      </c>
      <c r="AB116" s="110">
        <v>38976</v>
      </c>
      <c r="AC116" s="110">
        <v>39000</v>
      </c>
      <c r="AD116" s="108">
        <f t="shared" si="36"/>
        <v>39000</v>
      </c>
      <c r="AE116" s="107"/>
      <c r="AF116" s="107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4"/>
      <c r="FP116" s="14"/>
      <c r="FQ116" s="14"/>
      <c r="FR116" s="14"/>
      <c r="FS116" s="14"/>
      <c r="FT116" s="14"/>
      <c r="FU116" s="14"/>
      <c r="FV116" s="14"/>
      <c r="FW116" s="14"/>
      <c r="FX116" s="14"/>
      <c r="FY116" s="14"/>
      <c r="FZ116" s="14"/>
      <c r="GA116" s="14"/>
      <c r="GB116" s="14"/>
      <c r="GC116" s="14"/>
      <c r="GD116" s="14"/>
      <c r="GE116" s="14"/>
      <c r="GF116" s="14"/>
      <c r="GG116" s="14"/>
      <c r="GH116" s="14"/>
      <c r="GI116" s="14"/>
      <c r="GJ116" s="14"/>
      <c r="GK116" s="14"/>
      <c r="GL116" s="14"/>
      <c r="GM116" s="14"/>
      <c r="GN116" s="14"/>
      <c r="GO116" s="14"/>
      <c r="GP116" s="14"/>
      <c r="GQ116" s="14"/>
      <c r="GR116" s="14"/>
      <c r="GS116" s="14"/>
      <c r="GT116" s="14"/>
      <c r="GU116" s="14"/>
      <c r="GV116" s="14"/>
      <c r="GW116" s="14"/>
      <c r="GX116" s="14"/>
      <c r="GY116" s="14"/>
      <c r="GZ116" s="14"/>
      <c r="HA116" s="14"/>
      <c r="HB116" s="14"/>
      <c r="HC116" s="14"/>
      <c r="HD116" s="14"/>
      <c r="HE116" s="14"/>
      <c r="HF116" s="14"/>
      <c r="HG116" s="14"/>
      <c r="HH116" s="14"/>
      <c r="HI116" s="14"/>
      <c r="HJ116" s="14"/>
      <c r="HK116" s="14"/>
      <c r="HL116" s="14"/>
      <c r="HM116" s="14"/>
      <c r="HN116" s="14"/>
      <c r="HO116" s="14"/>
      <c r="HP116" s="14"/>
      <c r="HQ116" s="14"/>
      <c r="HR116" s="14"/>
      <c r="HS116" s="14"/>
      <c r="HT116" s="14"/>
      <c r="HU116" s="14"/>
      <c r="HV116" s="14"/>
      <c r="HW116" s="14"/>
      <c r="HX116" s="14"/>
      <c r="HY116" s="14"/>
      <c r="HZ116" s="14"/>
      <c r="IA116" s="14"/>
      <c r="IB116" s="14"/>
      <c r="IC116" s="14"/>
      <c r="ID116" s="14"/>
      <c r="IE116" s="14"/>
      <c r="IF116" s="14"/>
      <c r="IG116" s="14"/>
      <c r="IH116" s="14"/>
      <c r="II116" s="14"/>
      <c r="IJ116" s="14"/>
      <c r="IK116" s="14"/>
      <c r="IL116" s="14"/>
      <c r="IM116" s="14"/>
      <c r="IN116" s="14"/>
      <c r="IO116" s="14"/>
      <c r="IP116" s="14"/>
      <c r="IQ116" s="14"/>
      <c r="IR116" s="14"/>
      <c r="IS116" s="14"/>
      <c r="IT116" s="14"/>
      <c r="IU116" s="14"/>
      <c r="IV116" s="14"/>
    </row>
    <row r="117" spans="2:256" ht="30" customHeight="1" x14ac:dyDescent="0.25">
      <c r="B117" s="14"/>
      <c r="C117" s="102">
        <v>315553.91999999998</v>
      </c>
      <c r="D117" s="103" t="s">
        <v>560</v>
      </c>
      <c r="E117" s="146"/>
      <c r="F117" s="105"/>
      <c r="G117" s="126"/>
      <c r="H117" s="146"/>
      <c r="I117" s="104"/>
      <c r="J117" s="154"/>
      <c r="K117" s="107"/>
      <c r="L117" s="107"/>
      <c r="M117" s="107"/>
      <c r="N117" s="108"/>
      <c r="O117" s="109"/>
      <c r="P117" s="109"/>
      <c r="Q117" s="109"/>
      <c r="R117" s="107"/>
      <c r="S117" s="107"/>
      <c r="T117" s="107">
        <f t="shared" si="35"/>
        <v>0</v>
      </c>
      <c r="U117" s="107">
        <v>56732</v>
      </c>
      <c r="V117" s="107">
        <v>40902.53</v>
      </c>
      <c r="W117" s="107">
        <f t="shared" si="30"/>
        <v>81805.06</v>
      </c>
      <c r="X117" s="110">
        <v>81000</v>
      </c>
      <c r="Y117" s="107">
        <v>67502</v>
      </c>
      <c r="Z117" s="107">
        <f t="shared" si="28"/>
        <v>81002.399999999994</v>
      </c>
      <c r="AA117" s="110">
        <v>75000</v>
      </c>
      <c r="AB117" s="110">
        <f>46230+5530</f>
        <v>51760</v>
      </c>
      <c r="AC117" s="110">
        <v>62000</v>
      </c>
      <c r="AD117" s="108">
        <f t="shared" si="36"/>
        <v>62000</v>
      </c>
      <c r="AE117" s="107">
        <v>76000</v>
      </c>
      <c r="AF117" s="107">
        <v>76000</v>
      </c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14"/>
      <c r="GC117" s="14"/>
      <c r="GD117" s="14"/>
      <c r="GE117" s="14"/>
      <c r="GF117" s="14"/>
      <c r="GG117" s="14"/>
      <c r="GH117" s="14"/>
      <c r="GI117" s="14"/>
      <c r="GJ117" s="14"/>
      <c r="GK117" s="14"/>
      <c r="GL117" s="14"/>
      <c r="GM117" s="14"/>
      <c r="GN117" s="14"/>
      <c r="GO117" s="14"/>
      <c r="GP117" s="14"/>
      <c r="GQ117" s="14"/>
      <c r="GR117" s="14"/>
      <c r="GS117" s="14"/>
      <c r="GT117" s="14"/>
      <c r="GU117" s="14"/>
      <c r="GV117" s="14"/>
      <c r="GW117" s="14"/>
      <c r="GX117" s="14"/>
      <c r="GY117" s="14"/>
      <c r="GZ117" s="14"/>
      <c r="HA117" s="14"/>
      <c r="HB117" s="14"/>
      <c r="HC117" s="14"/>
      <c r="HD117" s="14"/>
      <c r="HE117" s="14"/>
      <c r="HF117" s="14"/>
      <c r="HG117" s="14"/>
      <c r="HH117" s="14"/>
      <c r="HI117" s="14"/>
      <c r="HJ117" s="14"/>
      <c r="HK117" s="14"/>
      <c r="HL117" s="14"/>
      <c r="HM117" s="14"/>
      <c r="HN117" s="14"/>
      <c r="HO117" s="14"/>
      <c r="HP117" s="14"/>
      <c r="HQ117" s="14"/>
      <c r="HR117" s="14"/>
      <c r="HS117" s="14"/>
      <c r="HT117" s="14"/>
      <c r="HU117" s="14"/>
      <c r="HV117" s="14"/>
      <c r="HW117" s="14"/>
      <c r="HX117" s="14"/>
      <c r="HY117" s="14"/>
      <c r="HZ117" s="14"/>
      <c r="IA117" s="14"/>
      <c r="IB117" s="14"/>
      <c r="IC117" s="14"/>
      <c r="ID117" s="14"/>
      <c r="IE117" s="14"/>
      <c r="IF117" s="14"/>
      <c r="IG117" s="14"/>
      <c r="IH117" s="14"/>
      <c r="II117" s="14"/>
      <c r="IJ117" s="14"/>
      <c r="IK117" s="14"/>
      <c r="IL117" s="14"/>
      <c r="IM117" s="14"/>
      <c r="IN117" s="14"/>
      <c r="IO117" s="14"/>
      <c r="IP117" s="14"/>
      <c r="IQ117" s="14"/>
      <c r="IR117" s="14"/>
      <c r="IS117" s="14"/>
      <c r="IT117" s="14"/>
      <c r="IU117" s="14"/>
      <c r="IV117" s="14"/>
    </row>
    <row r="118" spans="2:256" ht="30" customHeight="1" x14ac:dyDescent="0.25">
      <c r="B118" s="14"/>
      <c r="C118" s="102">
        <v>315556.92</v>
      </c>
      <c r="D118" s="103" t="s">
        <v>561</v>
      </c>
      <c r="E118" s="146"/>
      <c r="F118" s="105"/>
      <c r="G118" s="126"/>
      <c r="H118" s="146"/>
      <c r="I118" s="104"/>
      <c r="J118" s="154"/>
      <c r="K118" s="107"/>
      <c r="L118" s="107"/>
      <c r="M118" s="107"/>
      <c r="N118" s="108"/>
      <c r="O118" s="109"/>
      <c r="P118" s="109"/>
      <c r="Q118" s="109"/>
      <c r="R118" s="107"/>
      <c r="S118" s="107"/>
      <c r="T118" s="107">
        <f t="shared" si="35"/>
        <v>0</v>
      </c>
      <c r="U118" s="107">
        <v>667964</v>
      </c>
      <c r="V118" s="107">
        <v>418666</v>
      </c>
      <c r="W118" s="107">
        <f t="shared" si="30"/>
        <v>837332</v>
      </c>
      <c r="X118" s="110">
        <v>837000</v>
      </c>
      <c r="Y118" s="107">
        <v>1018456</v>
      </c>
      <c r="Z118" s="107">
        <f t="shared" si="28"/>
        <v>1222147.2</v>
      </c>
      <c r="AA118" s="110">
        <v>710000</v>
      </c>
      <c r="AB118" s="110">
        <f>2115885+247320+13714</f>
        <v>2376919</v>
      </c>
      <c r="AC118" s="110">
        <v>2852000</v>
      </c>
      <c r="AD118" s="108">
        <f t="shared" si="36"/>
        <v>2852000</v>
      </c>
      <c r="AE118" s="107">
        <v>3444000</v>
      </c>
      <c r="AF118" s="107">
        <v>3800000</v>
      </c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  <c r="FU118" s="14"/>
      <c r="FV118" s="14"/>
      <c r="FW118" s="14"/>
      <c r="FX118" s="14"/>
      <c r="FY118" s="14"/>
      <c r="FZ118" s="14"/>
      <c r="GA118" s="14"/>
      <c r="GB118" s="14"/>
      <c r="GC118" s="14"/>
      <c r="GD118" s="14"/>
      <c r="GE118" s="14"/>
      <c r="GF118" s="14"/>
      <c r="GG118" s="14"/>
      <c r="GH118" s="14"/>
      <c r="GI118" s="14"/>
      <c r="GJ118" s="14"/>
      <c r="GK118" s="14"/>
      <c r="GL118" s="14"/>
      <c r="GM118" s="14"/>
      <c r="GN118" s="14"/>
      <c r="GO118" s="14"/>
      <c r="GP118" s="14"/>
      <c r="GQ118" s="14"/>
      <c r="GR118" s="14"/>
      <c r="GS118" s="14"/>
      <c r="GT118" s="14"/>
      <c r="GU118" s="14"/>
      <c r="GV118" s="14"/>
      <c r="GW118" s="14"/>
      <c r="GX118" s="14"/>
      <c r="GY118" s="14"/>
      <c r="GZ118" s="14"/>
      <c r="HA118" s="14"/>
      <c r="HB118" s="14"/>
      <c r="HC118" s="14"/>
      <c r="HD118" s="14"/>
      <c r="HE118" s="14"/>
      <c r="HF118" s="14"/>
      <c r="HG118" s="14"/>
      <c r="HH118" s="14"/>
      <c r="HI118" s="14"/>
      <c r="HJ118" s="14"/>
      <c r="HK118" s="14"/>
      <c r="HL118" s="14"/>
      <c r="HM118" s="14"/>
      <c r="HN118" s="14"/>
      <c r="HO118" s="14"/>
      <c r="HP118" s="14"/>
      <c r="HQ118" s="14"/>
      <c r="HR118" s="14"/>
      <c r="HS118" s="14"/>
      <c r="HT118" s="14"/>
      <c r="HU118" s="14"/>
      <c r="HV118" s="14"/>
      <c r="HW118" s="14"/>
      <c r="HX118" s="14"/>
      <c r="HY118" s="14"/>
      <c r="HZ118" s="14"/>
      <c r="IA118" s="14"/>
      <c r="IB118" s="14"/>
      <c r="IC118" s="14"/>
      <c r="ID118" s="14"/>
      <c r="IE118" s="14"/>
      <c r="IF118" s="14"/>
      <c r="IG118" s="14"/>
      <c r="IH118" s="14"/>
      <c r="II118" s="14"/>
      <c r="IJ118" s="14"/>
      <c r="IK118" s="14"/>
      <c r="IL118" s="14"/>
      <c r="IM118" s="14"/>
      <c r="IN118" s="14"/>
      <c r="IO118" s="14"/>
      <c r="IP118" s="14"/>
      <c r="IQ118" s="14"/>
      <c r="IR118" s="14"/>
      <c r="IS118" s="14"/>
      <c r="IT118" s="14"/>
      <c r="IU118" s="14"/>
      <c r="IV118" s="14"/>
    </row>
    <row r="119" spans="2:256" ht="30" customHeight="1" x14ac:dyDescent="0.25">
      <c r="B119" s="14"/>
      <c r="C119" s="102">
        <v>315557.92</v>
      </c>
      <c r="D119" s="103" t="s">
        <v>562</v>
      </c>
      <c r="E119" s="146"/>
      <c r="F119" s="105"/>
      <c r="G119" s="126"/>
      <c r="H119" s="146"/>
      <c r="I119" s="104"/>
      <c r="J119" s="154"/>
      <c r="K119" s="107"/>
      <c r="L119" s="107"/>
      <c r="M119" s="107"/>
      <c r="N119" s="108"/>
      <c r="O119" s="109"/>
      <c r="P119" s="109"/>
      <c r="Q119" s="109"/>
      <c r="R119" s="107"/>
      <c r="S119" s="107"/>
      <c r="T119" s="107">
        <f t="shared" si="35"/>
        <v>0</v>
      </c>
      <c r="U119" s="107">
        <v>1400000</v>
      </c>
      <c r="V119" s="107">
        <v>697779.86</v>
      </c>
      <c r="W119" s="107">
        <f t="shared" si="30"/>
        <v>1395559.72</v>
      </c>
      <c r="X119" s="110">
        <f>U119</f>
        <v>1400000</v>
      </c>
      <c r="Y119" s="107">
        <v>1644958</v>
      </c>
      <c r="Z119" s="107">
        <f t="shared" si="28"/>
        <v>1973949.6</v>
      </c>
      <c r="AA119" s="110">
        <v>4400000</v>
      </c>
      <c r="AB119" s="110">
        <f>3331585+412207+22856</f>
        <v>3766648</v>
      </c>
      <c r="AC119" s="110">
        <v>4520000</v>
      </c>
      <c r="AD119" s="108">
        <f t="shared" si="36"/>
        <v>4520000</v>
      </c>
      <c r="AE119" s="107">
        <v>5740000</v>
      </c>
      <c r="AF119" s="107">
        <v>6300000</v>
      </c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  <c r="FS119" s="14"/>
      <c r="FT119" s="14"/>
      <c r="FU119" s="14"/>
      <c r="FV119" s="14"/>
      <c r="FW119" s="14"/>
      <c r="FX119" s="14"/>
      <c r="FY119" s="14"/>
      <c r="FZ119" s="14"/>
      <c r="GA119" s="14"/>
      <c r="GB119" s="14"/>
      <c r="GC119" s="14"/>
      <c r="GD119" s="14"/>
      <c r="GE119" s="14"/>
      <c r="GF119" s="14"/>
      <c r="GG119" s="14"/>
      <c r="GH119" s="14"/>
      <c r="GI119" s="14"/>
      <c r="GJ119" s="14"/>
      <c r="GK119" s="14"/>
      <c r="GL119" s="14"/>
      <c r="GM119" s="14"/>
      <c r="GN119" s="14"/>
      <c r="GO119" s="14"/>
      <c r="GP119" s="14"/>
      <c r="GQ119" s="14"/>
      <c r="GR119" s="14"/>
      <c r="GS119" s="14"/>
      <c r="GT119" s="14"/>
      <c r="GU119" s="14"/>
      <c r="GV119" s="14"/>
      <c r="GW119" s="14"/>
      <c r="GX119" s="14"/>
      <c r="GY119" s="14"/>
      <c r="GZ119" s="14"/>
      <c r="HA119" s="14"/>
      <c r="HB119" s="14"/>
      <c r="HC119" s="14"/>
      <c r="HD119" s="14"/>
      <c r="HE119" s="14"/>
      <c r="HF119" s="14"/>
      <c r="HG119" s="14"/>
      <c r="HH119" s="14"/>
      <c r="HI119" s="14"/>
      <c r="HJ119" s="14"/>
      <c r="HK119" s="14"/>
      <c r="HL119" s="14"/>
      <c r="HM119" s="14"/>
      <c r="HN119" s="14"/>
      <c r="HO119" s="14"/>
      <c r="HP119" s="14"/>
      <c r="HQ119" s="14"/>
      <c r="HR119" s="14"/>
      <c r="HS119" s="14"/>
      <c r="HT119" s="14"/>
      <c r="HU119" s="14"/>
      <c r="HV119" s="14"/>
      <c r="HW119" s="14"/>
      <c r="HX119" s="14"/>
      <c r="HY119" s="14"/>
      <c r="HZ119" s="14"/>
      <c r="IA119" s="14"/>
      <c r="IB119" s="14"/>
      <c r="IC119" s="14"/>
      <c r="ID119" s="14"/>
      <c r="IE119" s="14"/>
      <c r="IF119" s="14"/>
      <c r="IG119" s="14"/>
      <c r="IH119" s="14"/>
      <c r="II119" s="14"/>
      <c r="IJ119" s="14"/>
      <c r="IK119" s="14"/>
      <c r="IL119" s="14"/>
      <c r="IM119" s="14"/>
      <c r="IN119" s="14"/>
      <c r="IO119" s="14"/>
      <c r="IP119" s="14"/>
      <c r="IQ119" s="14"/>
      <c r="IR119" s="14"/>
      <c r="IS119" s="14"/>
      <c r="IT119" s="14"/>
      <c r="IU119" s="14"/>
      <c r="IV119" s="14"/>
    </row>
    <row r="120" spans="2:256" ht="30" customHeight="1" x14ac:dyDescent="0.25">
      <c r="B120" s="14"/>
      <c r="C120" s="102">
        <v>315558.92</v>
      </c>
      <c r="D120" s="103" t="s">
        <v>563</v>
      </c>
      <c r="E120" s="146"/>
      <c r="F120" s="105"/>
      <c r="G120" s="126"/>
      <c r="H120" s="146"/>
      <c r="I120" s="104"/>
      <c r="J120" s="154"/>
      <c r="K120" s="107"/>
      <c r="L120" s="107"/>
      <c r="M120" s="107"/>
      <c r="N120" s="108"/>
      <c r="O120" s="109"/>
      <c r="P120" s="109"/>
      <c r="Q120" s="109"/>
      <c r="R120" s="107"/>
      <c r="S120" s="107"/>
      <c r="T120" s="107">
        <f t="shared" si="35"/>
        <v>0</v>
      </c>
      <c r="U120" s="107">
        <v>642095</v>
      </c>
      <c r="V120" s="107">
        <v>370473.41</v>
      </c>
      <c r="W120" s="107">
        <f t="shared" si="30"/>
        <v>740946.82</v>
      </c>
      <c r="X120" s="110">
        <v>740000</v>
      </c>
      <c r="Y120" s="107">
        <v>662804</v>
      </c>
      <c r="Z120" s="107">
        <f t="shared" si="28"/>
        <v>795364.8</v>
      </c>
      <c r="AA120" s="110">
        <v>984000</v>
      </c>
      <c r="AB120" s="110">
        <v>749182</v>
      </c>
      <c r="AC120" s="110">
        <v>984000</v>
      </c>
      <c r="AD120" s="108">
        <f t="shared" si="36"/>
        <v>984000</v>
      </c>
      <c r="AE120" s="107">
        <v>1027000</v>
      </c>
      <c r="AF120" s="107">
        <v>1050000</v>
      </c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  <c r="FO120" s="14"/>
      <c r="FP120" s="14"/>
      <c r="FQ120" s="14"/>
      <c r="FR120" s="14"/>
      <c r="FS120" s="14"/>
      <c r="FT120" s="14"/>
      <c r="FU120" s="14"/>
      <c r="FV120" s="14"/>
      <c r="FW120" s="14"/>
      <c r="FX120" s="14"/>
      <c r="FY120" s="14"/>
      <c r="FZ120" s="14"/>
      <c r="GA120" s="14"/>
      <c r="GB120" s="14"/>
      <c r="GC120" s="14"/>
      <c r="GD120" s="14"/>
      <c r="GE120" s="14"/>
      <c r="GF120" s="14"/>
      <c r="GG120" s="14"/>
      <c r="GH120" s="14"/>
      <c r="GI120" s="14"/>
      <c r="GJ120" s="14"/>
      <c r="GK120" s="14"/>
      <c r="GL120" s="14"/>
      <c r="GM120" s="14"/>
      <c r="GN120" s="14"/>
      <c r="GO120" s="14"/>
      <c r="GP120" s="14"/>
      <c r="GQ120" s="14"/>
      <c r="GR120" s="14"/>
      <c r="GS120" s="14"/>
      <c r="GT120" s="14"/>
      <c r="GU120" s="14"/>
      <c r="GV120" s="14"/>
      <c r="GW120" s="14"/>
      <c r="GX120" s="14"/>
      <c r="GY120" s="14"/>
      <c r="GZ120" s="14"/>
      <c r="HA120" s="14"/>
      <c r="HB120" s="14"/>
      <c r="HC120" s="14"/>
      <c r="HD120" s="14"/>
      <c r="HE120" s="14"/>
      <c r="HF120" s="14"/>
      <c r="HG120" s="14"/>
      <c r="HH120" s="14"/>
      <c r="HI120" s="14"/>
      <c r="HJ120" s="14"/>
      <c r="HK120" s="14"/>
      <c r="HL120" s="14"/>
      <c r="HM120" s="14"/>
      <c r="HN120" s="14"/>
      <c r="HO120" s="14"/>
      <c r="HP120" s="14"/>
      <c r="HQ120" s="14"/>
      <c r="HR120" s="14"/>
      <c r="HS120" s="14"/>
      <c r="HT120" s="14"/>
      <c r="HU120" s="14"/>
      <c r="HV120" s="14"/>
      <c r="HW120" s="14"/>
      <c r="HX120" s="14"/>
      <c r="HY120" s="14"/>
      <c r="HZ120" s="14"/>
      <c r="IA120" s="14"/>
      <c r="IB120" s="14"/>
      <c r="IC120" s="14"/>
      <c r="ID120" s="14"/>
      <c r="IE120" s="14"/>
      <c r="IF120" s="14"/>
      <c r="IG120" s="14"/>
      <c r="IH120" s="14"/>
      <c r="II120" s="14"/>
      <c r="IJ120" s="14"/>
      <c r="IK120" s="14"/>
      <c r="IL120" s="14"/>
      <c r="IM120" s="14"/>
      <c r="IN120" s="14"/>
      <c r="IO120" s="14"/>
      <c r="IP120" s="14"/>
      <c r="IQ120" s="14"/>
      <c r="IR120" s="14"/>
      <c r="IS120" s="14"/>
      <c r="IT120" s="14"/>
      <c r="IU120" s="14"/>
      <c r="IV120" s="14"/>
    </row>
    <row r="121" spans="2:256" ht="30" customHeight="1" x14ac:dyDescent="0.25">
      <c r="B121" s="14"/>
      <c r="C121" s="102">
        <v>315559.92</v>
      </c>
      <c r="D121" s="103" t="s">
        <v>564</v>
      </c>
      <c r="E121" s="146"/>
      <c r="F121" s="105"/>
      <c r="G121" s="126"/>
      <c r="H121" s="146"/>
      <c r="I121" s="104"/>
      <c r="J121" s="154"/>
      <c r="K121" s="107"/>
      <c r="L121" s="107"/>
      <c r="M121" s="107"/>
      <c r="N121" s="108"/>
      <c r="O121" s="109"/>
      <c r="P121" s="109"/>
      <c r="Q121" s="109"/>
      <c r="R121" s="107"/>
      <c r="S121" s="107"/>
      <c r="T121" s="107">
        <f t="shared" si="35"/>
        <v>0</v>
      </c>
      <c r="U121" s="107">
        <v>89182</v>
      </c>
      <c r="V121" s="107">
        <v>52399.18</v>
      </c>
      <c r="W121" s="107">
        <f t="shared" si="30"/>
        <v>104798.36</v>
      </c>
      <c r="X121" s="110">
        <v>105000</v>
      </c>
      <c r="Y121" s="107">
        <v>112268</v>
      </c>
      <c r="Z121" s="107">
        <f t="shared" si="28"/>
        <v>134721.60000000001</v>
      </c>
      <c r="AA121" s="110">
        <v>251000</v>
      </c>
      <c r="AB121" s="110">
        <f>203620+78582</f>
        <v>282202</v>
      </c>
      <c r="AC121" s="110">
        <v>268000</v>
      </c>
      <c r="AD121" s="108">
        <f t="shared" si="36"/>
        <v>268000</v>
      </c>
      <c r="AE121" s="107">
        <v>291000</v>
      </c>
      <c r="AF121" s="107">
        <v>300000</v>
      </c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  <c r="FS121" s="14"/>
      <c r="FT121" s="14"/>
      <c r="FU121" s="14"/>
      <c r="FV121" s="14"/>
      <c r="FW121" s="14"/>
      <c r="FX121" s="14"/>
      <c r="FY121" s="14"/>
      <c r="FZ121" s="14"/>
      <c r="GA121" s="14"/>
      <c r="GB121" s="14"/>
      <c r="GC121" s="14"/>
      <c r="GD121" s="14"/>
      <c r="GE121" s="14"/>
      <c r="GF121" s="14"/>
      <c r="GG121" s="14"/>
      <c r="GH121" s="14"/>
      <c r="GI121" s="14"/>
      <c r="GJ121" s="14"/>
      <c r="GK121" s="14"/>
      <c r="GL121" s="14"/>
      <c r="GM121" s="14"/>
      <c r="GN121" s="14"/>
      <c r="GO121" s="14"/>
      <c r="GP121" s="14"/>
      <c r="GQ121" s="14"/>
      <c r="GR121" s="14"/>
      <c r="GS121" s="14"/>
      <c r="GT121" s="14"/>
      <c r="GU121" s="14"/>
      <c r="GV121" s="14"/>
      <c r="GW121" s="14"/>
      <c r="GX121" s="14"/>
      <c r="GY121" s="14"/>
      <c r="GZ121" s="14"/>
      <c r="HA121" s="14"/>
      <c r="HB121" s="14"/>
      <c r="HC121" s="14"/>
      <c r="HD121" s="14"/>
      <c r="HE121" s="14"/>
      <c r="HF121" s="14"/>
      <c r="HG121" s="14"/>
      <c r="HH121" s="14"/>
      <c r="HI121" s="14"/>
      <c r="HJ121" s="14"/>
      <c r="HK121" s="14"/>
      <c r="HL121" s="14"/>
      <c r="HM121" s="14"/>
      <c r="HN121" s="14"/>
      <c r="HO121" s="14"/>
      <c r="HP121" s="14"/>
      <c r="HQ121" s="14"/>
      <c r="HR121" s="14"/>
      <c r="HS121" s="14"/>
      <c r="HT121" s="14"/>
      <c r="HU121" s="14"/>
      <c r="HV121" s="14"/>
      <c r="HW121" s="14"/>
      <c r="HX121" s="14"/>
      <c r="HY121" s="14"/>
      <c r="HZ121" s="14"/>
      <c r="IA121" s="14"/>
      <c r="IB121" s="14"/>
      <c r="IC121" s="14"/>
      <c r="ID121" s="14"/>
      <c r="IE121" s="14"/>
      <c r="IF121" s="14"/>
      <c r="IG121" s="14"/>
      <c r="IH121" s="14"/>
      <c r="II121" s="14"/>
      <c r="IJ121" s="14"/>
      <c r="IK121" s="14"/>
      <c r="IL121" s="14"/>
      <c r="IM121" s="14"/>
      <c r="IN121" s="14"/>
      <c r="IO121" s="14"/>
      <c r="IP121" s="14"/>
      <c r="IQ121" s="14"/>
      <c r="IR121" s="14"/>
      <c r="IS121" s="14"/>
      <c r="IT121" s="14"/>
      <c r="IU121" s="14"/>
      <c r="IV121" s="14"/>
    </row>
    <row r="122" spans="2:256" ht="30" customHeight="1" x14ac:dyDescent="0.25">
      <c r="B122" s="14"/>
      <c r="C122" s="102">
        <v>315561.92</v>
      </c>
      <c r="D122" s="103" t="s">
        <v>565</v>
      </c>
      <c r="E122" s="146"/>
      <c r="F122" s="105"/>
      <c r="G122" s="126"/>
      <c r="H122" s="146"/>
      <c r="I122" s="104"/>
      <c r="J122" s="154"/>
      <c r="K122" s="107"/>
      <c r="L122" s="107"/>
      <c r="M122" s="107"/>
      <c r="N122" s="108"/>
      <c r="O122" s="109"/>
      <c r="P122" s="109"/>
      <c r="Q122" s="109"/>
      <c r="R122" s="107"/>
      <c r="S122" s="107"/>
      <c r="T122" s="107">
        <f t="shared" si="35"/>
        <v>0</v>
      </c>
      <c r="U122" s="107">
        <v>24616</v>
      </c>
      <c r="V122" s="107">
        <v>12464.29</v>
      </c>
      <c r="W122" s="107">
        <f t="shared" si="30"/>
        <v>24928.58</v>
      </c>
      <c r="X122" s="110">
        <f>U122</f>
        <v>24616</v>
      </c>
      <c r="Y122" s="107">
        <v>19086</v>
      </c>
      <c r="Z122" s="107">
        <f t="shared" si="28"/>
        <v>22903.200000000001</v>
      </c>
      <c r="AA122" s="110">
        <v>24000</v>
      </c>
      <c r="AB122" s="110">
        <f>5120+1474</f>
        <v>6594</v>
      </c>
      <c r="AC122" s="110">
        <v>8000</v>
      </c>
      <c r="AD122" s="108">
        <f t="shared" si="36"/>
        <v>8000</v>
      </c>
      <c r="AE122" s="107">
        <v>24000</v>
      </c>
      <c r="AF122" s="107">
        <v>24000</v>
      </c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4"/>
      <c r="GE122" s="14"/>
      <c r="GF122" s="14"/>
      <c r="GG122" s="14"/>
      <c r="GH122" s="14"/>
      <c r="GI122" s="14"/>
      <c r="GJ122" s="14"/>
      <c r="GK122" s="14"/>
      <c r="GL122" s="14"/>
      <c r="GM122" s="14"/>
      <c r="GN122" s="14"/>
      <c r="GO122" s="14"/>
      <c r="GP122" s="14"/>
      <c r="GQ122" s="14"/>
      <c r="GR122" s="14"/>
      <c r="GS122" s="14"/>
      <c r="GT122" s="14"/>
      <c r="GU122" s="14"/>
      <c r="GV122" s="14"/>
      <c r="GW122" s="14"/>
      <c r="GX122" s="14"/>
      <c r="GY122" s="14"/>
      <c r="GZ122" s="14"/>
      <c r="HA122" s="14"/>
      <c r="HB122" s="14"/>
      <c r="HC122" s="14"/>
      <c r="HD122" s="14"/>
      <c r="HE122" s="14"/>
      <c r="HF122" s="14"/>
      <c r="HG122" s="14"/>
      <c r="HH122" s="14"/>
      <c r="HI122" s="14"/>
      <c r="HJ122" s="14"/>
      <c r="HK122" s="14"/>
      <c r="HL122" s="14"/>
      <c r="HM122" s="14"/>
      <c r="HN122" s="14"/>
      <c r="HO122" s="14"/>
      <c r="HP122" s="14"/>
      <c r="HQ122" s="14"/>
      <c r="HR122" s="14"/>
      <c r="HS122" s="14"/>
      <c r="HT122" s="14"/>
      <c r="HU122" s="14"/>
      <c r="HV122" s="14"/>
      <c r="HW122" s="14"/>
      <c r="HX122" s="1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  <c r="IM122" s="14"/>
      <c r="IN122" s="14"/>
      <c r="IO122" s="14"/>
      <c r="IP122" s="14"/>
      <c r="IQ122" s="14"/>
      <c r="IR122" s="14"/>
      <c r="IS122" s="14"/>
      <c r="IT122" s="14"/>
      <c r="IU122" s="14"/>
      <c r="IV122" s="14"/>
    </row>
    <row r="123" spans="2:256" ht="30" customHeight="1" x14ac:dyDescent="0.25">
      <c r="B123" s="14"/>
      <c r="C123" s="102">
        <v>315567.92</v>
      </c>
      <c r="D123" s="103" t="s">
        <v>566</v>
      </c>
      <c r="E123" s="146"/>
      <c r="F123" s="105"/>
      <c r="G123" s="126"/>
      <c r="H123" s="146"/>
      <c r="I123" s="104"/>
      <c r="J123" s="154"/>
      <c r="K123" s="107"/>
      <c r="L123" s="107"/>
      <c r="M123" s="107"/>
      <c r="N123" s="108"/>
      <c r="O123" s="109"/>
      <c r="P123" s="109"/>
      <c r="Q123" s="109"/>
      <c r="R123" s="107"/>
      <c r="S123" s="107"/>
      <c r="T123" s="107">
        <f t="shared" si="35"/>
        <v>0</v>
      </c>
      <c r="U123" s="107">
        <v>347748</v>
      </c>
      <c r="V123" s="107">
        <v>37961.120000000003</v>
      </c>
      <c r="W123" s="107">
        <f t="shared" si="30"/>
        <v>75922.240000000005</v>
      </c>
      <c r="X123" s="110">
        <v>76000</v>
      </c>
      <c r="Y123" s="107">
        <v>65182</v>
      </c>
      <c r="Z123" s="107">
        <f t="shared" si="28"/>
        <v>78218.399999999994</v>
      </c>
      <c r="AA123" s="110">
        <v>91200</v>
      </c>
      <c r="AB123" s="110">
        <f>95093+8108</f>
        <v>103201</v>
      </c>
      <c r="AC123" s="110">
        <v>124000</v>
      </c>
      <c r="AD123" s="108">
        <f t="shared" si="36"/>
        <v>124000</v>
      </c>
      <c r="AE123" s="107">
        <v>150000</v>
      </c>
      <c r="AF123" s="107">
        <v>168000</v>
      </c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  <c r="FS123" s="14"/>
      <c r="FT123" s="14"/>
      <c r="FU123" s="14"/>
      <c r="FV123" s="14"/>
      <c r="FW123" s="14"/>
      <c r="FX123" s="14"/>
      <c r="FY123" s="14"/>
      <c r="FZ123" s="14"/>
      <c r="GA123" s="14"/>
      <c r="GB123" s="14"/>
      <c r="GC123" s="14"/>
      <c r="GD123" s="14"/>
      <c r="GE123" s="14"/>
      <c r="GF123" s="14"/>
      <c r="GG123" s="14"/>
      <c r="GH123" s="14"/>
      <c r="GI123" s="14"/>
      <c r="GJ123" s="14"/>
      <c r="GK123" s="14"/>
      <c r="GL123" s="14"/>
      <c r="GM123" s="14"/>
      <c r="GN123" s="14"/>
      <c r="GO123" s="14"/>
      <c r="GP123" s="14"/>
      <c r="GQ123" s="14"/>
      <c r="GR123" s="14"/>
      <c r="GS123" s="14"/>
      <c r="GT123" s="14"/>
      <c r="GU123" s="14"/>
      <c r="GV123" s="14"/>
      <c r="GW123" s="14"/>
      <c r="GX123" s="14"/>
      <c r="GY123" s="14"/>
      <c r="GZ123" s="14"/>
      <c r="HA123" s="14"/>
      <c r="HB123" s="14"/>
      <c r="HC123" s="14"/>
      <c r="HD123" s="14"/>
      <c r="HE123" s="14"/>
      <c r="HF123" s="14"/>
      <c r="HG123" s="14"/>
      <c r="HH123" s="14"/>
      <c r="HI123" s="14"/>
      <c r="HJ123" s="14"/>
      <c r="HK123" s="14"/>
      <c r="HL123" s="14"/>
      <c r="HM123" s="14"/>
      <c r="HN123" s="14"/>
      <c r="HO123" s="14"/>
      <c r="HP123" s="14"/>
      <c r="HQ123" s="14"/>
      <c r="HR123" s="14"/>
      <c r="HS123" s="14"/>
      <c r="HT123" s="14"/>
      <c r="HU123" s="14"/>
      <c r="HV123" s="14"/>
      <c r="HW123" s="14"/>
      <c r="HX123" s="14"/>
      <c r="HY123" s="14"/>
      <c r="HZ123" s="14"/>
      <c r="IA123" s="14"/>
      <c r="IB123" s="14"/>
      <c r="IC123" s="14"/>
      <c r="ID123" s="14"/>
      <c r="IE123" s="14"/>
      <c r="IF123" s="14"/>
      <c r="IG123" s="14"/>
      <c r="IH123" s="14"/>
      <c r="II123" s="14"/>
      <c r="IJ123" s="14"/>
      <c r="IK123" s="14"/>
      <c r="IL123" s="14"/>
      <c r="IM123" s="14"/>
      <c r="IN123" s="14"/>
      <c r="IO123" s="14"/>
      <c r="IP123" s="14"/>
      <c r="IQ123" s="14"/>
      <c r="IR123" s="14"/>
      <c r="IS123" s="14"/>
      <c r="IT123" s="14"/>
      <c r="IU123" s="14"/>
      <c r="IV123" s="14"/>
    </row>
    <row r="124" spans="2:256" ht="30" customHeight="1" x14ac:dyDescent="0.25">
      <c r="B124" s="14"/>
      <c r="C124" s="102">
        <v>315568.92</v>
      </c>
      <c r="D124" s="103" t="s">
        <v>567</v>
      </c>
      <c r="E124" s="146"/>
      <c r="F124" s="105"/>
      <c r="G124" s="126"/>
      <c r="H124" s="146"/>
      <c r="I124" s="104"/>
      <c r="J124" s="154"/>
      <c r="K124" s="107"/>
      <c r="L124" s="107"/>
      <c r="M124" s="107"/>
      <c r="N124" s="108"/>
      <c r="O124" s="109"/>
      <c r="P124" s="109"/>
      <c r="Q124" s="109"/>
      <c r="R124" s="107"/>
      <c r="S124" s="107"/>
      <c r="T124" s="107">
        <f t="shared" si="35"/>
        <v>0</v>
      </c>
      <c r="U124" s="107">
        <v>649286</v>
      </c>
      <c r="V124" s="107">
        <v>63223.24</v>
      </c>
      <c r="W124" s="107">
        <f t="shared" si="30"/>
        <v>126446.48</v>
      </c>
      <c r="X124" s="110">
        <v>126000</v>
      </c>
      <c r="Y124" s="107">
        <v>107244</v>
      </c>
      <c r="Z124" s="107">
        <f t="shared" si="28"/>
        <v>128692.8</v>
      </c>
      <c r="AA124" s="110">
        <v>144000</v>
      </c>
      <c r="AB124" s="110">
        <f>150579+13515</f>
        <v>164094</v>
      </c>
      <c r="AC124" s="110">
        <v>197000</v>
      </c>
      <c r="AD124" s="108">
        <f t="shared" si="36"/>
        <v>197000</v>
      </c>
      <c r="AE124" s="107">
        <v>250000</v>
      </c>
      <c r="AF124" s="107">
        <v>250000</v>
      </c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  <c r="GC124" s="14"/>
      <c r="GD124" s="14"/>
      <c r="GE124" s="14"/>
      <c r="GF124" s="14"/>
      <c r="GG124" s="14"/>
      <c r="GH124" s="14"/>
      <c r="GI124" s="14"/>
      <c r="GJ124" s="14"/>
      <c r="GK124" s="14"/>
      <c r="GL124" s="14"/>
      <c r="GM124" s="14"/>
      <c r="GN124" s="14"/>
      <c r="GO124" s="14"/>
      <c r="GP124" s="14"/>
      <c r="GQ124" s="14"/>
      <c r="GR124" s="14"/>
      <c r="GS124" s="14"/>
      <c r="GT124" s="14"/>
      <c r="GU124" s="14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/>
      <c r="HF124" s="14"/>
      <c r="HG124" s="14"/>
      <c r="HH124" s="14"/>
      <c r="HI124" s="14"/>
      <c r="HJ124" s="14"/>
      <c r="HK124" s="14"/>
      <c r="HL124" s="14"/>
      <c r="HM124" s="14"/>
      <c r="HN124" s="14"/>
      <c r="HO124" s="14"/>
      <c r="HP124" s="14"/>
      <c r="HQ124" s="14"/>
      <c r="HR124" s="14"/>
      <c r="HS124" s="14"/>
      <c r="HT124" s="14"/>
      <c r="HU124" s="14"/>
      <c r="HV124" s="14"/>
      <c r="HW124" s="14"/>
      <c r="HX124" s="14"/>
      <c r="HY124" s="14"/>
      <c r="HZ124" s="14"/>
      <c r="IA124" s="14"/>
      <c r="IB124" s="14"/>
      <c r="IC124" s="14"/>
      <c r="ID124" s="14"/>
      <c r="IE124" s="14"/>
      <c r="IF124" s="14"/>
      <c r="IG124" s="14"/>
      <c r="IH124" s="14"/>
      <c r="II124" s="14"/>
      <c r="IJ124" s="14"/>
      <c r="IK124" s="14"/>
      <c r="IL124" s="14"/>
      <c r="IM124" s="14"/>
      <c r="IN124" s="14"/>
      <c r="IO124" s="14"/>
      <c r="IP124" s="14"/>
      <c r="IQ124" s="14"/>
      <c r="IR124" s="14"/>
      <c r="IS124" s="14"/>
      <c r="IT124" s="14"/>
      <c r="IU124" s="14"/>
      <c r="IV124" s="14"/>
    </row>
    <row r="125" spans="2:256" ht="30" customHeight="1" x14ac:dyDescent="0.25">
      <c r="B125" s="14"/>
      <c r="C125" s="102">
        <v>315575.92</v>
      </c>
      <c r="D125" s="103" t="s">
        <v>568</v>
      </c>
      <c r="E125" s="146"/>
      <c r="F125" s="105"/>
      <c r="G125" s="126"/>
      <c r="H125" s="146"/>
      <c r="I125" s="104"/>
      <c r="J125" s="154"/>
      <c r="K125" s="107"/>
      <c r="L125" s="107"/>
      <c r="M125" s="107"/>
      <c r="N125" s="108"/>
      <c r="O125" s="109"/>
      <c r="P125" s="109"/>
      <c r="Q125" s="109"/>
      <c r="R125" s="107"/>
      <c r="S125" s="107"/>
      <c r="T125" s="107">
        <f t="shared" si="35"/>
        <v>0</v>
      </c>
      <c r="U125" s="107">
        <v>255204</v>
      </c>
      <c r="V125" s="107">
        <v>180690.63</v>
      </c>
      <c r="W125" s="107">
        <f t="shared" si="30"/>
        <v>361381.26</v>
      </c>
      <c r="X125" s="110">
        <v>362000</v>
      </c>
      <c r="Y125" s="107">
        <v>238849</v>
      </c>
      <c r="Z125" s="107">
        <f t="shared" si="28"/>
        <v>286618.8</v>
      </c>
      <c r="AA125" s="110">
        <v>912000</v>
      </c>
      <c r="AB125" s="110">
        <f>630667+83908</f>
        <v>714575</v>
      </c>
      <c r="AC125" s="110">
        <f>631000+300000</f>
        <v>931000</v>
      </c>
      <c r="AD125" s="108">
        <f t="shared" si="36"/>
        <v>931000</v>
      </c>
      <c r="AE125" s="107">
        <v>1266000</v>
      </c>
      <c r="AF125" s="107">
        <v>1320000</v>
      </c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  <c r="GC125" s="14"/>
      <c r="GD125" s="14"/>
      <c r="GE125" s="14"/>
      <c r="GF125" s="14"/>
      <c r="GG125" s="14"/>
      <c r="GH125" s="14"/>
      <c r="GI125" s="14"/>
      <c r="GJ125" s="14"/>
      <c r="GK125" s="14"/>
      <c r="GL125" s="14"/>
      <c r="GM125" s="14"/>
      <c r="GN125" s="14"/>
      <c r="GO125" s="14"/>
      <c r="GP125" s="14"/>
      <c r="GQ125" s="14"/>
      <c r="GR125" s="14"/>
      <c r="GS125" s="14"/>
      <c r="GT125" s="14"/>
      <c r="GU125" s="14"/>
      <c r="GV125" s="14"/>
      <c r="GW125" s="14"/>
      <c r="GX125" s="14"/>
      <c r="GY125" s="14"/>
      <c r="GZ125" s="14"/>
      <c r="HA125" s="14"/>
      <c r="HB125" s="14"/>
      <c r="HC125" s="14"/>
      <c r="HD125" s="14"/>
      <c r="HE125" s="14"/>
      <c r="HF125" s="14"/>
      <c r="HG125" s="14"/>
      <c r="HH125" s="14"/>
      <c r="HI125" s="14"/>
      <c r="HJ125" s="14"/>
      <c r="HK125" s="14"/>
      <c r="HL125" s="14"/>
      <c r="HM125" s="14"/>
      <c r="HN125" s="14"/>
      <c r="HO125" s="14"/>
      <c r="HP125" s="14"/>
      <c r="HQ125" s="14"/>
      <c r="HR125" s="14"/>
      <c r="HS125" s="14"/>
      <c r="HT125" s="14"/>
      <c r="HU125" s="14"/>
      <c r="HV125" s="14"/>
      <c r="HW125" s="14"/>
      <c r="HX125" s="14"/>
      <c r="HY125" s="14"/>
      <c r="HZ125" s="14"/>
      <c r="IA125" s="14"/>
      <c r="IB125" s="14"/>
      <c r="IC125" s="14"/>
      <c r="ID125" s="14"/>
      <c r="IE125" s="14"/>
      <c r="IF125" s="14"/>
      <c r="IG125" s="14"/>
      <c r="IH125" s="14"/>
      <c r="II125" s="14"/>
      <c r="IJ125" s="14"/>
      <c r="IK125" s="14"/>
      <c r="IL125" s="14"/>
      <c r="IM125" s="14"/>
      <c r="IN125" s="14"/>
      <c r="IO125" s="14"/>
      <c r="IP125" s="14"/>
      <c r="IQ125" s="14"/>
      <c r="IR125" s="14"/>
      <c r="IS125" s="14"/>
      <c r="IT125" s="14"/>
      <c r="IU125" s="14"/>
      <c r="IV125" s="14"/>
    </row>
    <row r="126" spans="2:256" ht="30" customHeight="1" x14ac:dyDescent="0.25">
      <c r="B126" s="14"/>
      <c r="C126" s="102"/>
      <c r="D126" s="103"/>
      <c r="E126" s="146"/>
      <c r="F126" s="105"/>
      <c r="G126" s="126"/>
      <c r="H126" s="146"/>
      <c r="I126" s="104"/>
      <c r="J126" s="154"/>
      <c r="K126" s="107"/>
      <c r="L126" s="107"/>
      <c r="M126" s="107"/>
      <c r="N126" s="108"/>
      <c r="O126" s="109"/>
      <c r="P126" s="109"/>
      <c r="Q126" s="109"/>
      <c r="R126" s="107"/>
      <c r="S126" s="107"/>
      <c r="T126" s="107"/>
      <c r="U126" s="107"/>
      <c r="V126" s="107"/>
      <c r="W126" s="107"/>
      <c r="X126" s="110"/>
      <c r="Y126" s="107"/>
      <c r="Z126" s="107">
        <f t="shared" ref="Z126:Z178" si="37">Y126*12/10</f>
        <v>0</v>
      </c>
      <c r="AA126" s="110"/>
      <c r="AB126" s="110"/>
      <c r="AC126" s="110"/>
      <c r="AD126" s="110"/>
      <c r="AE126" s="107"/>
      <c r="AF126" s="107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  <c r="FU126" s="14"/>
      <c r="FV126" s="14"/>
      <c r="FW126" s="14"/>
      <c r="FX126" s="14"/>
      <c r="FY126" s="14"/>
      <c r="FZ126" s="14"/>
      <c r="GA126" s="14"/>
      <c r="GB126" s="14"/>
      <c r="GC126" s="14"/>
      <c r="GD126" s="14"/>
      <c r="GE126" s="14"/>
      <c r="GF126" s="14"/>
      <c r="GG126" s="14"/>
      <c r="GH126" s="14"/>
      <c r="GI126" s="14"/>
      <c r="GJ126" s="14"/>
      <c r="GK126" s="14"/>
      <c r="GL126" s="14"/>
      <c r="GM126" s="14"/>
      <c r="GN126" s="14"/>
      <c r="GO126" s="14"/>
      <c r="GP126" s="14"/>
      <c r="GQ126" s="14"/>
      <c r="GR126" s="14"/>
      <c r="GS126" s="14"/>
      <c r="GT126" s="14"/>
      <c r="GU126" s="14"/>
      <c r="GV126" s="14"/>
      <c r="GW126" s="14"/>
      <c r="GX126" s="14"/>
      <c r="GY126" s="14"/>
      <c r="GZ126" s="14"/>
      <c r="HA126" s="14"/>
      <c r="HB126" s="14"/>
      <c r="HC126" s="14"/>
      <c r="HD126" s="14"/>
      <c r="HE126" s="14"/>
      <c r="HF126" s="14"/>
      <c r="HG126" s="14"/>
      <c r="HH126" s="14"/>
      <c r="HI126" s="14"/>
      <c r="HJ126" s="14"/>
      <c r="HK126" s="14"/>
      <c r="HL126" s="14"/>
      <c r="HM126" s="14"/>
      <c r="HN126" s="14"/>
      <c r="HO126" s="14"/>
      <c r="HP126" s="14"/>
      <c r="HQ126" s="14"/>
      <c r="HR126" s="14"/>
      <c r="HS126" s="14"/>
      <c r="HT126" s="14"/>
      <c r="HU126" s="14"/>
      <c r="HV126" s="14"/>
      <c r="HW126" s="14"/>
      <c r="HX126" s="14"/>
      <c r="HY126" s="14"/>
      <c r="HZ126" s="14"/>
      <c r="IA126" s="14"/>
      <c r="IB126" s="14"/>
      <c r="IC126" s="14"/>
      <c r="ID126" s="14"/>
      <c r="IE126" s="14"/>
      <c r="IF126" s="14"/>
      <c r="IG126" s="14"/>
      <c r="IH126" s="14"/>
      <c r="II126" s="14"/>
      <c r="IJ126" s="14"/>
      <c r="IK126" s="14"/>
      <c r="IL126" s="14"/>
      <c r="IM126" s="14"/>
      <c r="IN126" s="14"/>
      <c r="IO126" s="14"/>
      <c r="IP126" s="14"/>
      <c r="IQ126" s="14"/>
      <c r="IR126" s="14"/>
      <c r="IS126" s="14"/>
      <c r="IT126" s="14"/>
      <c r="IU126" s="14"/>
      <c r="IV126" s="14"/>
    </row>
    <row r="127" spans="2:256" ht="30" customHeight="1" x14ac:dyDescent="0.25">
      <c r="B127" s="14"/>
      <c r="C127" s="131" t="s">
        <v>303</v>
      </c>
      <c r="D127" s="150"/>
      <c r="E127" s="115">
        <f>SUM(E107:E108)</f>
        <v>21790000</v>
      </c>
      <c r="F127" s="115">
        <f>SUM(F107:F108)</f>
        <v>0</v>
      </c>
      <c r="G127" s="115">
        <f>SUM(G107:G108)</f>
        <v>18976469</v>
      </c>
      <c r="H127" s="115">
        <f>SUM(H107:H108)</f>
        <v>20785000</v>
      </c>
      <c r="I127" s="104">
        <f>4/3</f>
        <v>1.3333333333333333</v>
      </c>
      <c r="J127" s="154"/>
      <c r="K127" s="117">
        <f t="shared" ref="K127:Q127" si="38">SUM(K103:K108)</f>
        <v>21165000</v>
      </c>
      <c r="L127" s="117">
        <f t="shared" si="38"/>
        <v>14967044</v>
      </c>
      <c r="M127" s="117">
        <f t="shared" si="38"/>
        <v>18474751.650000002</v>
      </c>
      <c r="N127" s="117">
        <f t="shared" si="38"/>
        <v>0</v>
      </c>
      <c r="O127" s="118">
        <f t="shared" si="38"/>
        <v>22572228.946666665</v>
      </c>
      <c r="P127" s="118">
        <f t="shared" si="38"/>
        <v>18446544</v>
      </c>
      <c r="Q127" s="118">
        <f t="shared" si="38"/>
        <v>13173414.857142856</v>
      </c>
      <c r="R127" s="117">
        <f t="shared" ref="R127:X127" si="39">SUM(R98:R126)</f>
        <v>22580000</v>
      </c>
      <c r="S127" s="117">
        <f t="shared" si="39"/>
        <v>30185500</v>
      </c>
      <c r="T127" s="117">
        <f t="shared" si="39"/>
        <v>31619958.857142854</v>
      </c>
      <c r="U127" s="117">
        <f t="shared" si="39"/>
        <v>32683831</v>
      </c>
      <c r="V127" s="117">
        <f t="shared" si="39"/>
        <v>15973478.729999997</v>
      </c>
      <c r="W127" s="117">
        <f t="shared" si="39"/>
        <v>33013426.459999993</v>
      </c>
      <c r="X127" s="117">
        <f t="shared" si="39"/>
        <v>33117154</v>
      </c>
      <c r="Y127" s="117">
        <f t="shared" ref="Y127:AF127" si="40">SUM(Y98:Y126)</f>
        <v>27008009</v>
      </c>
      <c r="Z127" s="117">
        <f t="shared" si="40"/>
        <v>32409610.800000001</v>
      </c>
      <c r="AA127" s="117">
        <f t="shared" si="40"/>
        <v>33255600</v>
      </c>
      <c r="AB127" s="117">
        <f t="shared" si="40"/>
        <v>30711716</v>
      </c>
      <c r="AC127" s="117">
        <f t="shared" si="40"/>
        <v>37022000</v>
      </c>
      <c r="AD127" s="117">
        <f t="shared" si="40"/>
        <v>37022000</v>
      </c>
      <c r="AE127" s="117">
        <f t="shared" si="40"/>
        <v>40609000</v>
      </c>
      <c r="AF127" s="117">
        <f t="shared" si="40"/>
        <v>46730000</v>
      </c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4"/>
      <c r="FP127" s="14"/>
      <c r="FQ127" s="14"/>
      <c r="FR127" s="14"/>
      <c r="FS127" s="14"/>
      <c r="FT127" s="14"/>
      <c r="FU127" s="14"/>
      <c r="FV127" s="14"/>
      <c r="FW127" s="14"/>
      <c r="FX127" s="14"/>
      <c r="FY127" s="14"/>
      <c r="FZ127" s="14"/>
      <c r="GA127" s="14"/>
      <c r="GB127" s="14"/>
      <c r="GC127" s="14"/>
      <c r="GD127" s="14"/>
      <c r="GE127" s="14"/>
      <c r="GF127" s="14"/>
      <c r="GG127" s="14"/>
      <c r="GH127" s="14"/>
      <c r="GI127" s="14"/>
      <c r="GJ127" s="14"/>
      <c r="GK127" s="14"/>
      <c r="GL127" s="14"/>
      <c r="GM127" s="14"/>
      <c r="GN127" s="14"/>
      <c r="GO127" s="14"/>
      <c r="GP127" s="14"/>
      <c r="GQ127" s="14"/>
      <c r="GR127" s="14"/>
      <c r="GS127" s="14"/>
      <c r="GT127" s="14"/>
      <c r="GU127" s="14"/>
      <c r="GV127" s="14"/>
      <c r="GW127" s="14"/>
      <c r="GX127" s="14"/>
      <c r="GY127" s="14"/>
      <c r="GZ127" s="14"/>
      <c r="HA127" s="14"/>
      <c r="HB127" s="14"/>
      <c r="HC127" s="14"/>
      <c r="HD127" s="14"/>
      <c r="HE127" s="14"/>
      <c r="HF127" s="14"/>
      <c r="HG127" s="14"/>
      <c r="HH127" s="14"/>
      <c r="HI127" s="14"/>
      <c r="HJ127" s="14"/>
      <c r="HK127" s="14"/>
      <c r="HL127" s="14"/>
      <c r="HM127" s="14"/>
      <c r="HN127" s="14"/>
      <c r="HO127" s="14"/>
      <c r="HP127" s="14"/>
      <c r="HQ127" s="14"/>
      <c r="HR127" s="14"/>
      <c r="HS127" s="14"/>
      <c r="HT127" s="14"/>
      <c r="HU127" s="14"/>
      <c r="HV127" s="14"/>
      <c r="HW127" s="14"/>
      <c r="HX127" s="14"/>
      <c r="HY127" s="14"/>
      <c r="HZ127" s="14"/>
      <c r="IA127" s="14"/>
      <c r="IB127" s="14"/>
      <c r="IC127" s="14"/>
      <c r="ID127" s="14"/>
      <c r="IE127" s="14"/>
      <c r="IF127" s="14"/>
      <c r="IG127" s="14"/>
      <c r="IH127" s="14"/>
      <c r="II127" s="14"/>
      <c r="IJ127" s="14"/>
      <c r="IK127" s="14"/>
      <c r="IL127" s="14"/>
      <c r="IM127" s="14"/>
      <c r="IN127" s="14"/>
      <c r="IO127" s="14"/>
      <c r="IP127" s="14"/>
      <c r="IQ127" s="14"/>
      <c r="IR127" s="14"/>
      <c r="IS127" s="14"/>
      <c r="IT127" s="14"/>
      <c r="IU127" s="14"/>
      <c r="IV127" s="14"/>
    </row>
    <row r="128" spans="2:256" ht="30" customHeight="1" x14ac:dyDescent="0.25">
      <c r="B128" s="14"/>
      <c r="C128" s="102"/>
      <c r="D128" s="103"/>
      <c r="E128" s="104"/>
      <c r="F128" s="105"/>
      <c r="G128" s="126"/>
      <c r="H128" s="104"/>
      <c r="I128" s="104">
        <f t="shared" ref="I128:I170" si="41">4/3</f>
        <v>1.3333333333333333</v>
      </c>
      <c r="J128" s="154"/>
      <c r="K128" s="107"/>
      <c r="L128" s="107"/>
      <c r="M128" s="107"/>
      <c r="N128" s="108"/>
      <c r="O128" s="109"/>
      <c r="P128" s="109"/>
      <c r="Q128" s="109"/>
      <c r="R128" s="107"/>
      <c r="S128" s="107"/>
      <c r="T128" s="107"/>
      <c r="U128" s="107"/>
      <c r="V128" s="107"/>
      <c r="W128" s="107"/>
      <c r="X128" s="110"/>
      <c r="Y128" s="107"/>
      <c r="Z128" s="107">
        <f t="shared" si="37"/>
        <v>0</v>
      </c>
      <c r="AA128" s="110"/>
      <c r="AB128" s="110"/>
      <c r="AC128" s="110"/>
      <c r="AD128" s="110"/>
      <c r="AE128" s="107"/>
      <c r="AF128" s="107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  <c r="FS128" s="14"/>
      <c r="FT128" s="14"/>
      <c r="FU128" s="14"/>
      <c r="FV128" s="14"/>
      <c r="FW128" s="14"/>
      <c r="FX128" s="14"/>
      <c r="FY128" s="14"/>
      <c r="FZ128" s="14"/>
      <c r="GA128" s="14"/>
      <c r="GB128" s="14"/>
      <c r="GC128" s="14"/>
      <c r="GD128" s="14"/>
      <c r="GE128" s="14"/>
      <c r="GF128" s="14"/>
      <c r="GG128" s="14"/>
      <c r="GH128" s="14"/>
      <c r="GI128" s="14"/>
      <c r="GJ128" s="14"/>
      <c r="GK128" s="14"/>
      <c r="GL128" s="14"/>
      <c r="GM128" s="14"/>
      <c r="GN128" s="14"/>
      <c r="GO128" s="14"/>
      <c r="GP128" s="14"/>
      <c r="GQ128" s="14"/>
      <c r="GR128" s="14"/>
      <c r="GS128" s="14"/>
      <c r="GT128" s="14"/>
      <c r="GU128" s="14"/>
      <c r="GV128" s="14"/>
      <c r="GW128" s="14"/>
      <c r="GX128" s="14"/>
      <c r="GY128" s="14"/>
      <c r="GZ128" s="14"/>
      <c r="HA128" s="14"/>
      <c r="HB128" s="14"/>
      <c r="HC128" s="14"/>
      <c r="HD128" s="14"/>
      <c r="HE128" s="14"/>
      <c r="HF128" s="14"/>
      <c r="HG128" s="14"/>
      <c r="HH128" s="14"/>
      <c r="HI128" s="14"/>
      <c r="HJ128" s="14"/>
      <c r="HK128" s="14"/>
      <c r="HL128" s="14"/>
      <c r="HM128" s="14"/>
      <c r="HN128" s="14"/>
      <c r="HO128" s="14"/>
      <c r="HP128" s="14"/>
      <c r="HQ128" s="14"/>
      <c r="HR128" s="14"/>
      <c r="HS128" s="14"/>
      <c r="HT128" s="14"/>
      <c r="HU128" s="14"/>
      <c r="HV128" s="14"/>
      <c r="HW128" s="14"/>
      <c r="HX128" s="14"/>
      <c r="HY128" s="14"/>
      <c r="HZ128" s="14"/>
      <c r="IA128" s="14"/>
      <c r="IB128" s="14"/>
      <c r="IC128" s="14"/>
      <c r="ID128" s="14"/>
      <c r="IE128" s="14"/>
      <c r="IF128" s="14"/>
      <c r="IG128" s="14"/>
      <c r="IH128" s="14"/>
      <c r="II128" s="14"/>
      <c r="IJ128" s="14"/>
      <c r="IK128" s="14"/>
      <c r="IL128" s="14"/>
      <c r="IM128" s="14"/>
      <c r="IN128" s="14"/>
      <c r="IO128" s="14"/>
      <c r="IP128" s="14"/>
      <c r="IQ128" s="14"/>
      <c r="IR128" s="14"/>
      <c r="IS128" s="14"/>
      <c r="IT128" s="14"/>
      <c r="IU128" s="14"/>
      <c r="IV128" s="14"/>
    </row>
    <row r="129" spans="2:256" ht="30" customHeight="1" x14ac:dyDescent="0.25">
      <c r="B129" s="14"/>
      <c r="C129" s="102">
        <v>317045.92</v>
      </c>
      <c r="D129" s="103" t="s">
        <v>570</v>
      </c>
      <c r="E129" s="146"/>
      <c r="F129" s="105"/>
      <c r="G129" s="160"/>
      <c r="H129" s="146"/>
      <c r="I129" s="104"/>
      <c r="J129" s="154"/>
      <c r="K129" s="107"/>
      <c r="L129" s="107"/>
      <c r="M129" s="107"/>
      <c r="N129" s="108"/>
      <c r="O129" s="109"/>
      <c r="P129" s="109"/>
      <c r="Q129" s="109"/>
      <c r="R129" s="107"/>
      <c r="S129" s="107"/>
      <c r="T129" s="107">
        <f t="shared" ref="T129:T146" si="42">Q129+P129</f>
        <v>0</v>
      </c>
      <c r="U129" s="107">
        <v>450000</v>
      </c>
      <c r="V129" s="107">
        <v>250168.71</v>
      </c>
      <c r="W129" s="107">
        <f t="shared" si="30"/>
        <v>500337.42</v>
      </c>
      <c r="X129" s="110">
        <v>500000</v>
      </c>
      <c r="Y129" s="107">
        <v>412650</v>
      </c>
      <c r="Z129" s="107">
        <f t="shared" si="37"/>
        <v>495180</v>
      </c>
      <c r="AA129" s="110">
        <v>470000</v>
      </c>
      <c r="AB129" s="110">
        <f>373461+38508</f>
        <v>411969</v>
      </c>
      <c r="AC129" s="110">
        <v>490000</v>
      </c>
      <c r="AD129" s="108">
        <f t="shared" ref="AD129:AD148" si="43">AC129</f>
        <v>490000</v>
      </c>
      <c r="AE129" s="107">
        <v>500000</v>
      </c>
      <c r="AF129" s="107">
        <v>511000</v>
      </c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  <c r="FS129" s="14"/>
      <c r="FT129" s="14"/>
      <c r="FU129" s="14"/>
      <c r="FV129" s="14"/>
      <c r="FW129" s="14"/>
      <c r="FX129" s="14"/>
      <c r="FY129" s="14"/>
      <c r="FZ129" s="14"/>
      <c r="GA129" s="14"/>
      <c r="GB129" s="14"/>
      <c r="GC129" s="14"/>
      <c r="GD129" s="14"/>
      <c r="GE129" s="14"/>
      <c r="GF129" s="14"/>
      <c r="GG129" s="14"/>
      <c r="GH129" s="14"/>
      <c r="GI129" s="14"/>
      <c r="GJ129" s="14"/>
      <c r="GK129" s="14"/>
      <c r="GL129" s="14"/>
      <c r="GM129" s="14"/>
      <c r="GN129" s="14"/>
      <c r="GO129" s="14"/>
      <c r="GP129" s="14"/>
      <c r="GQ129" s="14"/>
      <c r="GR129" s="14"/>
      <c r="GS129" s="14"/>
      <c r="GT129" s="14"/>
      <c r="GU129" s="14"/>
      <c r="GV129" s="14"/>
      <c r="GW129" s="14"/>
      <c r="GX129" s="14"/>
      <c r="GY129" s="14"/>
      <c r="GZ129" s="14"/>
      <c r="HA129" s="14"/>
      <c r="HB129" s="14"/>
      <c r="HC129" s="14"/>
      <c r="HD129" s="14"/>
      <c r="HE129" s="14"/>
      <c r="HF129" s="14"/>
      <c r="HG129" s="14"/>
      <c r="HH129" s="14"/>
      <c r="HI129" s="14"/>
      <c r="HJ129" s="14"/>
      <c r="HK129" s="14"/>
      <c r="HL129" s="14"/>
      <c r="HM129" s="14"/>
      <c r="HN129" s="14"/>
      <c r="HO129" s="14"/>
      <c r="HP129" s="14"/>
      <c r="HQ129" s="14"/>
      <c r="HR129" s="14"/>
      <c r="HS129" s="14"/>
      <c r="HT129" s="14"/>
      <c r="HU129" s="14"/>
      <c r="HV129" s="14"/>
      <c r="HW129" s="14"/>
      <c r="HX129" s="14"/>
      <c r="HY129" s="14"/>
      <c r="HZ129" s="14"/>
      <c r="IA129" s="14"/>
      <c r="IB129" s="14"/>
      <c r="IC129" s="14"/>
      <c r="ID129" s="14"/>
      <c r="IE129" s="14"/>
      <c r="IF129" s="14"/>
      <c r="IG129" s="14"/>
      <c r="IH129" s="14"/>
      <c r="II129" s="14"/>
      <c r="IJ129" s="14"/>
      <c r="IK129" s="14"/>
      <c r="IL129" s="14"/>
      <c r="IM129" s="14"/>
      <c r="IN129" s="14"/>
      <c r="IO129" s="14"/>
      <c r="IP129" s="14"/>
      <c r="IQ129" s="14"/>
      <c r="IR129" s="14"/>
      <c r="IS129" s="14"/>
      <c r="IT129" s="14"/>
      <c r="IU129" s="14"/>
      <c r="IV129" s="14"/>
    </row>
    <row r="130" spans="2:256" ht="30" customHeight="1" x14ac:dyDescent="0.25">
      <c r="B130" s="14"/>
      <c r="C130" s="102">
        <v>317046.92</v>
      </c>
      <c r="D130" s="103" t="s">
        <v>571</v>
      </c>
      <c r="E130" s="146"/>
      <c r="F130" s="105"/>
      <c r="G130" s="160"/>
      <c r="H130" s="146"/>
      <c r="I130" s="104"/>
      <c r="J130" s="154"/>
      <c r="K130" s="107"/>
      <c r="L130" s="107"/>
      <c r="M130" s="107"/>
      <c r="N130" s="108"/>
      <c r="O130" s="109"/>
      <c r="P130" s="109"/>
      <c r="Q130" s="109"/>
      <c r="R130" s="107"/>
      <c r="S130" s="107"/>
      <c r="T130" s="107">
        <f t="shared" si="42"/>
        <v>0</v>
      </c>
      <c r="U130" s="107">
        <v>66020</v>
      </c>
      <c r="V130" s="107">
        <v>49761.53</v>
      </c>
      <c r="W130" s="107">
        <f t="shared" ref="W130:W138" si="44">V130*2</f>
        <v>99523.06</v>
      </c>
      <c r="X130" s="110">
        <v>99500</v>
      </c>
      <c r="Y130" s="107">
        <v>81925</v>
      </c>
      <c r="Z130" s="107">
        <f t="shared" si="37"/>
        <v>98310</v>
      </c>
      <c r="AA130" s="110">
        <v>105000</v>
      </c>
      <c r="AB130" s="110">
        <f>74090+8056</f>
        <v>82146</v>
      </c>
      <c r="AC130" s="110">
        <v>98000</v>
      </c>
      <c r="AD130" s="108">
        <f t="shared" si="43"/>
        <v>98000</v>
      </c>
      <c r="AE130" s="107">
        <v>101000</v>
      </c>
      <c r="AF130" s="107">
        <v>101000</v>
      </c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  <c r="FO130" s="14"/>
      <c r="FP130" s="14"/>
      <c r="FQ130" s="14"/>
      <c r="FR130" s="14"/>
      <c r="FS130" s="14"/>
      <c r="FT130" s="14"/>
      <c r="FU130" s="14"/>
      <c r="FV130" s="14"/>
      <c r="FW130" s="14"/>
      <c r="FX130" s="14"/>
      <c r="FY130" s="14"/>
      <c r="FZ130" s="14"/>
      <c r="GA130" s="14"/>
      <c r="GB130" s="14"/>
      <c r="GC130" s="14"/>
      <c r="GD130" s="14"/>
      <c r="GE130" s="14"/>
      <c r="GF130" s="14"/>
      <c r="GG130" s="14"/>
      <c r="GH130" s="14"/>
      <c r="GI130" s="14"/>
      <c r="GJ130" s="14"/>
      <c r="GK130" s="14"/>
      <c r="GL130" s="14"/>
      <c r="GM130" s="14"/>
      <c r="GN130" s="14"/>
      <c r="GO130" s="14"/>
      <c r="GP130" s="14"/>
      <c r="GQ130" s="14"/>
      <c r="GR130" s="14"/>
      <c r="GS130" s="14"/>
      <c r="GT130" s="14"/>
      <c r="GU130" s="14"/>
      <c r="GV130" s="14"/>
      <c r="GW130" s="14"/>
      <c r="GX130" s="14"/>
      <c r="GY130" s="14"/>
      <c r="GZ130" s="14"/>
      <c r="HA130" s="14"/>
      <c r="HB130" s="14"/>
      <c r="HC130" s="14"/>
      <c r="HD130" s="14"/>
      <c r="HE130" s="14"/>
      <c r="HF130" s="14"/>
      <c r="HG130" s="14"/>
      <c r="HH130" s="14"/>
      <c r="HI130" s="14"/>
      <c r="HJ130" s="14"/>
      <c r="HK130" s="14"/>
      <c r="HL130" s="14"/>
      <c r="HM130" s="14"/>
      <c r="HN130" s="14"/>
      <c r="HO130" s="14"/>
      <c r="HP130" s="14"/>
      <c r="HQ130" s="14"/>
      <c r="HR130" s="14"/>
      <c r="HS130" s="14"/>
      <c r="HT130" s="14"/>
      <c r="HU130" s="14"/>
      <c r="HV130" s="14"/>
      <c r="HW130" s="14"/>
      <c r="HX130" s="14"/>
      <c r="HY130" s="14"/>
      <c r="HZ130" s="14"/>
      <c r="IA130" s="14"/>
      <c r="IB130" s="14"/>
      <c r="IC130" s="14"/>
      <c r="ID130" s="14"/>
      <c r="IE130" s="14"/>
      <c r="IF130" s="14"/>
      <c r="IG130" s="14"/>
      <c r="IH130" s="14"/>
      <c r="II130" s="14"/>
      <c r="IJ130" s="14"/>
      <c r="IK130" s="14"/>
      <c r="IL130" s="14"/>
      <c r="IM130" s="14"/>
      <c r="IN130" s="14"/>
      <c r="IO130" s="14"/>
      <c r="IP130" s="14"/>
      <c r="IQ130" s="14"/>
      <c r="IR130" s="14"/>
      <c r="IS130" s="14"/>
      <c r="IT130" s="14"/>
      <c r="IU130" s="14"/>
      <c r="IV130" s="14"/>
    </row>
    <row r="131" spans="2:256" ht="30" customHeight="1" x14ac:dyDescent="0.25">
      <c r="B131" s="14">
        <v>854112</v>
      </c>
      <c r="C131" s="102">
        <v>317047.92</v>
      </c>
      <c r="D131" s="103" t="s">
        <v>572</v>
      </c>
      <c r="E131" s="104"/>
      <c r="F131" s="105"/>
      <c r="G131" s="126"/>
      <c r="H131" s="104"/>
      <c r="I131" s="104">
        <f t="shared" si="41"/>
        <v>1.3333333333333333</v>
      </c>
      <c r="J131" s="154"/>
      <c r="K131" s="107"/>
      <c r="L131" s="107"/>
      <c r="M131" s="107"/>
      <c r="N131" s="108"/>
      <c r="O131" s="109">
        <f>M131*4/3</f>
        <v>0</v>
      </c>
      <c r="P131" s="109"/>
      <c r="Q131" s="109">
        <f>P131/7*5</f>
        <v>0</v>
      </c>
      <c r="R131" s="107"/>
      <c r="S131" s="107">
        <f>Q131+P131</f>
        <v>0</v>
      </c>
      <c r="T131" s="107">
        <f t="shared" si="42"/>
        <v>0</v>
      </c>
      <c r="U131" s="107">
        <v>1450400</v>
      </c>
      <c r="V131" s="107">
        <v>690174.28</v>
      </c>
      <c r="W131" s="107">
        <f t="shared" si="44"/>
        <v>1380348.56</v>
      </c>
      <c r="X131" s="110">
        <v>1390000</v>
      </c>
      <c r="Y131" s="107">
        <v>1161192</v>
      </c>
      <c r="Z131" s="107">
        <f t="shared" si="37"/>
        <v>1393430.4</v>
      </c>
      <c r="AA131" s="110">
        <v>1450000</v>
      </c>
      <c r="AB131" s="110">
        <f>1095279+121079</f>
        <v>1216358</v>
      </c>
      <c r="AC131" s="110">
        <v>1450000</v>
      </c>
      <c r="AD131" s="108">
        <f t="shared" si="43"/>
        <v>1450000</v>
      </c>
      <c r="AE131" s="107">
        <v>1575000</v>
      </c>
      <c r="AF131" s="148">
        <f>1575000+60000</f>
        <v>1635000</v>
      </c>
      <c r="AG131" s="16"/>
      <c r="AH131" s="16"/>
      <c r="AI131" s="16">
        <v>6</v>
      </c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14"/>
      <c r="FI131" s="14"/>
      <c r="FJ131" s="14"/>
      <c r="FK131" s="14"/>
      <c r="FL131" s="14"/>
      <c r="FM131" s="14"/>
      <c r="FN131" s="14"/>
      <c r="FO131" s="14"/>
      <c r="FP131" s="14"/>
      <c r="FQ131" s="14"/>
      <c r="FR131" s="14"/>
      <c r="FS131" s="14"/>
      <c r="FT131" s="14"/>
      <c r="FU131" s="14"/>
      <c r="FV131" s="14"/>
      <c r="FW131" s="14"/>
      <c r="FX131" s="14"/>
      <c r="FY131" s="14"/>
      <c r="FZ131" s="14"/>
      <c r="GA131" s="14"/>
      <c r="GB131" s="14"/>
      <c r="GC131" s="14"/>
      <c r="GD131" s="14"/>
      <c r="GE131" s="14"/>
      <c r="GF131" s="14"/>
      <c r="GG131" s="14"/>
      <c r="GH131" s="14"/>
      <c r="GI131" s="14"/>
      <c r="GJ131" s="14"/>
      <c r="GK131" s="14"/>
      <c r="GL131" s="14"/>
      <c r="GM131" s="14"/>
      <c r="GN131" s="14"/>
      <c r="GO131" s="14"/>
      <c r="GP131" s="14"/>
      <c r="GQ131" s="14"/>
      <c r="GR131" s="14"/>
      <c r="GS131" s="14"/>
      <c r="GT131" s="14"/>
      <c r="GU131" s="14"/>
      <c r="GV131" s="14"/>
      <c r="GW131" s="14"/>
      <c r="GX131" s="14"/>
      <c r="GY131" s="14"/>
      <c r="GZ131" s="14"/>
      <c r="HA131" s="14"/>
      <c r="HB131" s="14"/>
      <c r="HC131" s="14"/>
      <c r="HD131" s="14"/>
      <c r="HE131" s="14"/>
      <c r="HF131" s="14"/>
      <c r="HG131" s="14"/>
      <c r="HH131" s="14"/>
      <c r="HI131" s="14"/>
      <c r="HJ131" s="14"/>
      <c r="HK131" s="14"/>
      <c r="HL131" s="14"/>
      <c r="HM131" s="14"/>
      <c r="HN131" s="14"/>
      <c r="HO131" s="14"/>
      <c r="HP131" s="14"/>
      <c r="HQ131" s="14"/>
      <c r="HR131" s="14"/>
      <c r="HS131" s="14"/>
      <c r="HT131" s="14"/>
      <c r="HU131" s="14"/>
      <c r="HV131" s="14"/>
      <c r="HW131" s="14"/>
      <c r="HX131" s="14"/>
      <c r="HY131" s="14"/>
      <c r="HZ131" s="14"/>
      <c r="IA131" s="14"/>
      <c r="IB131" s="14"/>
      <c r="IC131" s="14"/>
      <c r="ID131" s="14"/>
      <c r="IE131" s="14"/>
      <c r="IF131" s="14"/>
      <c r="IG131" s="14"/>
      <c r="IH131" s="14"/>
      <c r="II131" s="14"/>
      <c r="IJ131" s="14"/>
      <c r="IK131" s="14"/>
      <c r="IL131" s="14"/>
      <c r="IM131" s="14"/>
      <c r="IN131" s="14"/>
      <c r="IO131" s="14"/>
      <c r="IP131" s="14"/>
      <c r="IQ131" s="14"/>
      <c r="IR131" s="14"/>
      <c r="IS131" s="14"/>
      <c r="IT131" s="14"/>
      <c r="IU131" s="14"/>
      <c r="IV131" s="14"/>
    </row>
    <row r="132" spans="2:256" ht="30" customHeight="1" x14ac:dyDescent="0.25">
      <c r="B132" s="14"/>
      <c r="C132" s="102">
        <v>317095.92</v>
      </c>
      <c r="D132" s="103" t="s">
        <v>573</v>
      </c>
      <c r="E132" s="104"/>
      <c r="F132" s="105"/>
      <c r="G132" s="126"/>
      <c r="H132" s="104"/>
      <c r="I132" s="104"/>
      <c r="J132" s="154"/>
      <c r="K132" s="107"/>
      <c r="L132" s="107"/>
      <c r="M132" s="107"/>
      <c r="N132" s="108"/>
      <c r="O132" s="109"/>
      <c r="P132" s="109"/>
      <c r="Q132" s="109"/>
      <c r="R132" s="107"/>
      <c r="S132" s="107"/>
      <c r="T132" s="107">
        <f t="shared" si="42"/>
        <v>0</v>
      </c>
      <c r="U132" s="107">
        <f>54720</f>
        <v>54720</v>
      </c>
      <c r="V132" s="107">
        <v>22800.400000000001</v>
      </c>
      <c r="W132" s="107">
        <f t="shared" si="44"/>
        <v>45600.800000000003</v>
      </c>
      <c r="X132" s="110">
        <f>U132</f>
        <v>54720</v>
      </c>
      <c r="Y132" s="107">
        <v>30618</v>
      </c>
      <c r="Z132" s="107">
        <f t="shared" si="37"/>
        <v>36741.599999999999</v>
      </c>
      <c r="AA132" s="110">
        <v>48000</v>
      </c>
      <c r="AB132" s="110">
        <f>42344+13650</f>
        <v>55994</v>
      </c>
      <c r="AC132" s="110">
        <v>49000</v>
      </c>
      <c r="AD132" s="108">
        <f t="shared" si="43"/>
        <v>49000</v>
      </c>
      <c r="AE132" s="107">
        <v>49000</v>
      </c>
      <c r="AF132" s="107">
        <v>49000</v>
      </c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  <c r="FO132" s="14"/>
      <c r="FP132" s="14"/>
      <c r="FQ132" s="14"/>
      <c r="FR132" s="14"/>
      <c r="FS132" s="14"/>
      <c r="FT132" s="14"/>
      <c r="FU132" s="14"/>
      <c r="FV132" s="14"/>
      <c r="FW132" s="14"/>
      <c r="FX132" s="14"/>
      <c r="FY132" s="14"/>
      <c r="FZ132" s="14"/>
      <c r="GA132" s="14"/>
      <c r="GB132" s="14"/>
      <c r="GC132" s="14"/>
      <c r="GD132" s="14"/>
      <c r="GE132" s="14"/>
      <c r="GF132" s="14"/>
      <c r="GG132" s="14"/>
      <c r="GH132" s="14"/>
      <c r="GI132" s="14"/>
      <c r="GJ132" s="14"/>
      <c r="GK132" s="14"/>
      <c r="GL132" s="14"/>
      <c r="GM132" s="14"/>
      <c r="GN132" s="14"/>
      <c r="GO132" s="14"/>
      <c r="GP132" s="14"/>
      <c r="GQ132" s="14"/>
      <c r="GR132" s="14"/>
      <c r="GS132" s="14"/>
      <c r="GT132" s="14"/>
      <c r="GU132" s="14"/>
      <c r="GV132" s="14"/>
      <c r="GW132" s="14"/>
      <c r="GX132" s="14"/>
      <c r="GY132" s="14"/>
      <c r="GZ132" s="14"/>
      <c r="HA132" s="14"/>
      <c r="HB132" s="14"/>
      <c r="HC132" s="14"/>
      <c r="HD132" s="14"/>
      <c r="HE132" s="14"/>
      <c r="HF132" s="14"/>
      <c r="HG132" s="14"/>
      <c r="HH132" s="14"/>
      <c r="HI132" s="14"/>
      <c r="HJ132" s="14"/>
      <c r="HK132" s="14"/>
      <c r="HL132" s="14"/>
      <c r="HM132" s="14"/>
      <c r="HN132" s="14"/>
      <c r="HO132" s="14"/>
      <c r="HP132" s="14"/>
      <c r="HQ132" s="14"/>
      <c r="HR132" s="14"/>
      <c r="HS132" s="14"/>
      <c r="HT132" s="14"/>
      <c r="HU132" s="14"/>
      <c r="HV132" s="14"/>
      <c r="HW132" s="14"/>
      <c r="HX132" s="14"/>
      <c r="HY132" s="14"/>
      <c r="HZ132" s="14"/>
      <c r="IA132" s="14"/>
      <c r="IB132" s="14"/>
      <c r="IC132" s="14"/>
      <c r="ID132" s="14"/>
      <c r="IE132" s="14"/>
      <c r="IF132" s="14"/>
      <c r="IG132" s="14"/>
      <c r="IH132" s="14"/>
      <c r="II132" s="14"/>
      <c r="IJ132" s="14"/>
      <c r="IK132" s="14"/>
      <c r="IL132" s="14"/>
      <c r="IM132" s="14"/>
      <c r="IN132" s="14"/>
      <c r="IO132" s="14"/>
      <c r="IP132" s="14"/>
      <c r="IQ132" s="14"/>
      <c r="IR132" s="14"/>
      <c r="IS132" s="14"/>
      <c r="IT132" s="14"/>
      <c r="IU132" s="14"/>
      <c r="IV132" s="14"/>
    </row>
    <row r="133" spans="2:256" ht="30" customHeight="1" x14ac:dyDescent="0.25">
      <c r="B133" s="14"/>
      <c r="C133" s="102">
        <v>317105.91999999998</v>
      </c>
      <c r="D133" s="103" t="s">
        <v>574</v>
      </c>
      <c r="E133" s="104"/>
      <c r="F133" s="105"/>
      <c r="G133" s="126"/>
      <c r="H133" s="104"/>
      <c r="I133" s="104"/>
      <c r="J133" s="154"/>
      <c r="K133" s="107"/>
      <c r="L133" s="107"/>
      <c r="M133" s="107"/>
      <c r="N133" s="108"/>
      <c r="O133" s="109"/>
      <c r="P133" s="109"/>
      <c r="Q133" s="109"/>
      <c r="R133" s="107"/>
      <c r="S133" s="107"/>
      <c r="T133" s="107">
        <f t="shared" si="42"/>
        <v>0</v>
      </c>
      <c r="U133" s="107">
        <v>96857</v>
      </c>
      <c r="V133" s="107">
        <v>82886.320000000007</v>
      </c>
      <c r="W133" s="107">
        <f t="shared" si="44"/>
        <v>165772.64000000001</v>
      </c>
      <c r="X133" s="110">
        <v>165000</v>
      </c>
      <c r="Y133" s="107">
        <v>136028</v>
      </c>
      <c r="Z133" s="107">
        <f t="shared" si="37"/>
        <v>163233.60000000001</v>
      </c>
      <c r="AA133" s="110"/>
      <c r="AB133" s="110">
        <f>73971+16835</f>
        <v>90806</v>
      </c>
      <c r="AC133" s="110">
        <v>109000</v>
      </c>
      <c r="AD133" s="108">
        <f t="shared" si="43"/>
        <v>109000</v>
      </c>
      <c r="AE133" s="107">
        <v>209000</v>
      </c>
      <c r="AF133" s="107">
        <v>220000</v>
      </c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  <c r="FU133" s="14"/>
      <c r="FV133" s="14"/>
      <c r="FW133" s="14"/>
      <c r="FX133" s="14"/>
      <c r="FY133" s="14"/>
      <c r="FZ133" s="14"/>
      <c r="GA133" s="14"/>
      <c r="GB133" s="14"/>
      <c r="GC133" s="14"/>
      <c r="GD133" s="14"/>
      <c r="GE133" s="14"/>
      <c r="GF133" s="14"/>
      <c r="GG133" s="14"/>
      <c r="GH133" s="14"/>
      <c r="GI133" s="14"/>
      <c r="GJ133" s="14"/>
      <c r="GK133" s="14"/>
      <c r="GL133" s="14"/>
      <c r="GM133" s="14"/>
      <c r="GN133" s="14"/>
      <c r="GO133" s="14"/>
      <c r="GP133" s="14"/>
      <c r="GQ133" s="14"/>
      <c r="GR133" s="14"/>
      <c r="GS133" s="14"/>
      <c r="GT133" s="14"/>
      <c r="GU133" s="14"/>
      <c r="GV133" s="14"/>
      <c r="GW133" s="14"/>
      <c r="GX133" s="14"/>
      <c r="GY133" s="14"/>
      <c r="GZ133" s="14"/>
      <c r="HA133" s="14"/>
      <c r="HB133" s="14"/>
      <c r="HC133" s="14"/>
      <c r="HD133" s="14"/>
      <c r="HE133" s="14"/>
      <c r="HF133" s="14"/>
      <c r="HG133" s="14"/>
      <c r="HH133" s="14"/>
      <c r="HI133" s="14"/>
      <c r="HJ133" s="14"/>
      <c r="HK133" s="14"/>
      <c r="HL133" s="14"/>
      <c r="HM133" s="14"/>
      <c r="HN133" s="14"/>
      <c r="HO133" s="14"/>
      <c r="HP133" s="14"/>
      <c r="HQ133" s="14"/>
      <c r="HR133" s="14"/>
      <c r="HS133" s="14"/>
      <c r="HT133" s="14"/>
      <c r="HU133" s="14"/>
      <c r="HV133" s="14"/>
      <c r="HW133" s="14"/>
      <c r="HX133" s="14"/>
      <c r="HY133" s="14"/>
      <c r="HZ133" s="14"/>
      <c r="IA133" s="14"/>
      <c r="IB133" s="14"/>
      <c r="IC133" s="14"/>
      <c r="ID133" s="14"/>
      <c r="IE133" s="14"/>
      <c r="IF133" s="14"/>
      <c r="IG133" s="14"/>
      <c r="IH133" s="14"/>
      <c r="II133" s="14"/>
      <c r="IJ133" s="14"/>
      <c r="IK133" s="14"/>
      <c r="IL133" s="14"/>
      <c r="IM133" s="14"/>
      <c r="IN133" s="14"/>
      <c r="IO133" s="14"/>
      <c r="IP133" s="14"/>
      <c r="IQ133" s="14"/>
      <c r="IR133" s="14"/>
      <c r="IS133" s="14"/>
      <c r="IT133" s="14"/>
      <c r="IU133" s="14"/>
      <c r="IV133" s="14"/>
    </row>
    <row r="134" spans="2:256" ht="30" customHeight="1" x14ac:dyDescent="0.25">
      <c r="B134" s="14"/>
      <c r="C134" s="102">
        <v>317107.92</v>
      </c>
      <c r="D134" s="103" t="s">
        <v>575</v>
      </c>
      <c r="E134" s="104"/>
      <c r="F134" s="105"/>
      <c r="G134" s="126"/>
      <c r="H134" s="104"/>
      <c r="I134" s="104"/>
      <c r="J134" s="154"/>
      <c r="K134" s="107"/>
      <c r="L134" s="107"/>
      <c r="M134" s="107"/>
      <c r="N134" s="108"/>
      <c r="O134" s="109"/>
      <c r="P134" s="109"/>
      <c r="Q134" s="109"/>
      <c r="R134" s="107"/>
      <c r="S134" s="107"/>
      <c r="T134" s="107">
        <f t="shared" si="42"/>
        <v>0</v>
      </c>
      <c r="U134" s="107">
        <v>127500</v>
      </c>
      <c r="V134" s="107">
        <v>48166.33</v>
      </c>
      <c r="W134" s="107">
        <f t="shared" si="44"/>
        <v>96332.66</v>
      </c>
      <c r="X134" s="110">
        <v>97000</v>
      </c>
      <c r="Y134" s="107">
        <v>93524</v>
      </c>
      <c r="Z134" s="107">
        <f t="shared" si="37"/>
        <v>112228.8</v>
      </c>
      <c r="AA134" s="110"/>
      <c r="AB134" s="110">
        <f>70684+5364+14037</f>
        <v>90085</v>
      </c>
      <c r="AC134" s="110">
        <v>108000</v>
      </c>
      <c r="AD134" s="108">
        <f t="shared" si="43"/>
        <v>108000</v>
      </c>
      <c r="AE134" s="107">
        <v>172000</v>
      </c>
      <c r="AF134" s="107">
        <v>200000</v>
      </c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4"/>
      <c r="FP134" s="14"/>
      <c r="FQ134" s="14"/>
      <c r="FR134" s="14"/>
      <c r="FS134" s="14"/>
      <c r="FT134" s="14"/>
      <c r="FU134" s="14"/>
      <c r="FV134" s="14"/>
      <c r="FW134" s="14"/>
      <c r="FX134" s="14"/>
      <c r="FY134" s="14"/>
      <c r="FZ134" s="14"/>
      <c r="GA134" s="14"/>
      <c r="GB134" s="14"/>
      <c r="GC134" s="14"/>
      <c r="GD134" s="14"/>
      <c r="GE134" s="14"/>
      <c r="GF134" s="14"/>
      <c r="GG134" s="14"/>
      <c r="GH134" s="14"/>
      <c r="GI134" s="14"/>
      <c r="GJ134" s="14"/>
      <c r="GK134" s="14"/>
      <c r="GL134" s="14"/>
      <c r="GM134" s="14"/>
      <c r="GN134" s="14"/>
      <c r="GO134" s="14"/>
      <c r="GP134" s="14"/>
      <c r="GQ134" s="14"/>
      <c r="GR134" s="14"/>
      <c r="GS134" s="14"/>
      <c r="GT134" s="14"/>
      <c r="GU134" s="14"/>
      <c r="GV134" s="14"/>
      <c r="GW134" s="14"/>
      <c r="GX134" s="14"/>
      <c r="GY134" s="14"/>
      <c r="GZ134" s="14"/>
      <c r="HA134" s="14"/>
      <c r="HB134" s="14"/>
      <c r="HC134" s="14"/>
      <c r="HD134" s="14"/>
      <c r="HE134" s="14"/>
      <c r="HF134" s="14"/>
      <c r="HG134" s="14"/>
      <c r="HH134" s="14"/>
      <c r="HI134" s="14"/>
      <c r="HJ134" s="14"/>
      <c r="HK134" s="14"/>
      <c r="HL134" s="14"/>
      <c r="HM134" s="14"/>
      <c r="HN134" s="14"/>
      <c r="HO134" s="14"/>
      <c r="HP134" s="14"/>
      <c r="HQ134" s="14"/>
      <c r="HR134" s="14"/>
      <c r="HS134" s="14"/>
      <c r="HT134" s="14"/>
      <c r="HU134" s="14"/>
      <c r="HV134" s="14"/>
      <c r="HW134" s="14"/>
      <c r="HX134" s="14"/>
      <c r="HY134" s="14"/>
      <c r="HZ134" s="14"/>
      <c r="IA134" s="14"/>
      <c r="IB134" s="14"/>
      <c r="IC134" s="14"/>
      <c r="ID134" s="14"/>
      <c r="IE134" s="14"/>
      <c r="IF134" s="14"/>
      <c r="IG134" s="14"/>
      <c r="IH134" s="14"/>
      <c r="II134" s="14"/>
      <c r="IJ134" s="14"/>
      <c r="IK134" s="14"/>
      <c r="IL134" s="14"/>
      <c r="IM134" s="14"/>
      <c r="IN134" s="14"/>
      <c r="IO134" s="14"/>
      <c r="IP134" s="14"/>
      <c r="IQ134" s="14"/>
      <c r="IR134" s="14"/>
      <c r="IS134" s="14"/>
      <c r="IT134" s="14"/>
      <c r="IU134" s="14"/>
      <c r="IV134" s="14"/>
    </row>
    <row r="135" spans="2:256" ht="30" customHeight="1" x14ac:dyDescent="0.25">
      <c r="B135" s="14"/>
      <c r="C135" s="102">
        <v>317109.92</v>
      </c>
      <c r="D135" s="103" t="s">
        <v>576</v>
      </c>
      <c r="E135" s="104"/>
      <c r="F135" s="105"/>
      <c r="G135" s="126"/>
      <c r="H135" s="104"/>
      <c r="I135" s="104"/>
      <c r="J135" s="154"/>
      <c r="K135" s="107"/>
      <c r="L135" s="107"/>
      <c r="M135" s="107"/>
      <c r="N135" s="108"/>
      <c r="O135" s="109"/>
      <c r="P135" s="109"/>
      <c r="Q135" s="109"/>
      <c r="R135" s="107"/>
      <c r="S135" s="107"/>
      <c r="T135" s="107">
        <f t="shared" si="42"/>
        <v>0</v>
      </c>
      <c r="U135" s="107">
        <v>30850</v>
      </c>
      <c r="V135" s="107">
        <v>22527.200000000001</v>
      </c>
      <c r="W135" s="107">
        <f t="shared" si="44"/>
        <v>45054.400000000001</v>
      </c>
      <c r="X135" s="110">
        <v>45054</v>
      </c>
      <c r="Y135" s="107">
        <v>39462</v>
      </c>
      <c r="Z135" s="107">
        <f t="shared" si="37"/>
        <v>47354.400000000001</v>
      </c>
      <c r="AA135" s="110"/>
      <c r="AB135" s="110">
        <v>23561</v>
      </c>
      <c r="AC135" s="110">
        <v>37000</v>
      </c>
      <c r="AD135" s="108">
        <f t="shared" si="43"/>
        <v>37000</v>
      </c>
      <c r="AE135" s="107">
        <v>49000</v>
      </c>
      <c r="AF135" s="107">
        <v>49000</v>
      </c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4"/>
      <c r="FW135" s="14"/>
      <c r="FX135" s="14"/>
      <c r="FY135" s="14"/>
      <c r="FZ135" s="14"/>
      <c r="GA135" s="14"/>
      <c r="GB135" s="14"/>
      <c r="GC135" s="14"/>
      <c r="GD135" s="14"/>
      <c r="GE135" s="14"/>
      <c r="GF135" s="14"/>
      <c r="GG135" s="14"/>
      <c r="GH135" s="14"/>
      <c r="GI135" s="14"/>
      <c r="GJ135" s="14"/>
      <c r="GK135" s="14"/>
      <c r="GL135" s="14"/>
      <c r="GM135" s="14"/>
      <c r="GN135" s="14"/>
      <c r="GO135" s="14"/>
      <c r="GP135" s="14"/>
      <c r="GQ135" s="14"/>
      <c r="GR135" s="14"/>
      <c r="GS135" s="14"/>
      <c r="GT135" s="14"/>
      <c r="GU135" s="14"/>
      <c r="GV135" s="14"/>
      <c r="GW135" s="14"/>
      <c r="GX135" s="14"/>
      <c r="GY135" s="14"/>
      <c r="GZ135" s="14"/>
      <c r="HA135" s="14"/>
      <c r="HB135" s="14"/>
      <c r="HC135" s="14"/>
      <c r="HD135" s="14"/>
      <c r="HE135" s="14"/>
      <c r="HF135" s="14"/>
      <c r="HG135" s="14"/>
      <c r="HH135" s="14"/>
      <c r="HI135" s="14"/>
      <c r="HJ135" s="14"/>
      <c r="HK135" s="14"/>
      <c r="HL135" s="14"/>
      <c r="HM135" s="14"/>
      <c r="HN135" s="14"/>
      <c r="HO135" s="14"/>
      <c r="HP135" s="14"/>
      <c r="HQ135" s="14"/>
      <c r="HR135" s="14"/>
      <c r="HS135" s="14"/>
      <c r="HT135" s="14"/>
      <c r="HU135" s="14"/>
      <c r="HV135" s="14"/>
      <c r="HW135" s="14"/>
      <c r="HX135" s="14"/>
      <c r="HY135" s="14"/>
      <c r="HZ135" s="14"/>
      <c r="IA135" s="14"/>
      <c r="IB135" s="14"/>
      <c r="IC135" s="14"/>
      <c r="ID135" s="14"/>
      <c r="IE135" s="14"/>
      <c r="IF135" s="14"/>
      <c r="IG135" s="14"/>
      <c r="IH135" s="14"/>
      <c r="II135" s="14"/>
      <c r="IJ135" s="14"/>
      <c r="IK135" s="14"/>
      <c r="IL135" s="14"/>
      <c r="IM135" s="14"/>
      <c r="IN135" s="14"/>
      <c r="IO135" s="14"/>
      <c r="IP135" s="14"/>
      <c r="IQ135" s="14"/>
      <c r="IR135" s="14"/>
      <c r="IS135" s="14"/>
      <c r="IT135" s="14"/>
      <c r="IU135" s="14"/>
      <c r="IV135" s="14"/>
    </row>
    <row r="136" spans="2:256" ht="30" customHeight="1" x14ac:dyDescent="0.25">
      <c r="B136" s="14"/>
      <c r="C136" s="102">
        <v>317141.92</v>
      </c>
      <c r="D136" s="103" t="s">
        <v>577</v>
      </c>
      <c r="E136" s="104"/>
      <c r="F136" s="105"/>
      <c r="G136" s="126"/>
      <c r="H136" s="104"/>
      <c r="I136" s="104"/>
      <c r="J136" s="154"/>
      <c r="K136" s="107"/>
      <c r="L136" s="107"/>
      <c r="M136" s="107"/>
      <c r="N136" s="108"/>
      <c r="O136" s="109"/>
      <c r="P136" s="109"/>
      <c r="Q136" s="109"/>
      <c r="R136" s="107"/>
      <c r="S136" s="107"/>
      <c r="T136" s="107">
        <f t="shared" si="42"/>
        <v>0</v>
      </c>
      <c r="U136" s="107">
        <v>1360000</v>
      </c>
      <c r="V136" s="107">
        <v>770649.02</v>
      </c>
      <c r="W136" s="107">
        <f t="shared" si="44"/>
        <v>1541298.04</v>
      </c>
      <c r="X136" s="110">
        <v>1541000</v>
      </c>
      <c r="Y136" s="107">
        <v>960949</v>
      </c>
      <c r="Z136" s="107">
        <f t="shared" si="37"/>
        <v>1153138.8</v>
      </c>
      <c r="AA136" s="110">
        <v>1300000</v>
      </c>
      <c r="AB136" s="110">
        <f>1139518+86964</f>
        <v>1226482</v>
      </c>
      <c r="AC136" s="110">
        <v>1471000</v>
      </c>
      <c r="AD136" s="108">
        <f t="shared" si="43"/>
        <v>1471000</v>
      </c>
      <c r="AE136" s="107">
        <v>2138000</v>
      </c>
      <c r="AF136" s="107">
        <v>2138000</v>
      </c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4"/>
      <c r="GE136" s="14"/>
      <c r="GF136" s="14"/>
      <c r="GG136" s="14"/>
      <c r="GH136" s="14"/>
      <c r="GI136" s="14"/>
      <c r="GJ136" s="14"/>
      <c r="GK136" s="14"/>
      <c r="GL136" s="14"/>
      <c r="GM136" s="14"/>
      <c r="GN136" s="14"/>
      <c r="GO136" s="14"/>
      <c r="GP136" s="14"/>
      <c r="GQ136" s="14"/>
      <c r="GR136" s="14"/>
      <c r="GS136" s="14"/>
      <c r="GT136" s="14"/>
      <c r="GU136" s="14"/>
      <c r="GV136" s="14"/>
      <c r="GW136" s="14"/>
      <c r="GX136" s="14"/>
      <c r="GY136" s="14"/>
      <c r="GZ136" s="14"/>
      <c r="HA136" s="14"/>
      <c r="HB136" s="14"/>
      <c r="HC136" s="14"/>
      <c r="HD136" s="14"/>
      <c r="HE136" s="14"/>
      <c r="HF136" s="14"/>
      <c r="HG136" s="14"/>
      <c r="HH136" s="14"/>
      <c r="HI136" s="14"/>
      <c r="HJ136" s="14"/>
      <c r="HK136" s="14"/>
      <c r="HL136" s="14"/>
      <c r="HM136" s="14"/>
      <c r="HN136" s="14"/>
      <c r="HO136" s="14"/>
      <c r="HP136" s="14"/>
      <c r="HQ136" s="14"/>
      <c r="HR136" s="14"/>
      <c r="HS136" s="14"/>
      <c r="HT136" s="14"/>
      <c r="HU136" s="14"/>
      <c r="HV136" s="14"/>
      <c r="HW136" s="14"/>
      <c r="HX136" s="14"/>
      <c r="HY136" s="14"/>
      <c r="HZ136" s="14"/>
      <c r="IA136" s="14"/>
      <c r="IB136" s="14"/>
      <c r="IC136" s="14"/>
      <c r="ID136" s="14"/>
      <c r="IE136" s="14"/>
      <c r="IF136" s="14"/>
      <c r="IG136" s="14"/>
      <c r="IH136" s="14"/>
      <c r="II136" s="14"/>
      <c r="IJ136" s="14"/>
      <c r="IK136" s="14"/>
      <c r="IL136" s="14"/>
      <c r="IM136" s="14"/>
      <c r="IN136" s="14"/>
      <c r="IO136" s="14"/>
      <c r="IP136" s="14"/>
      <c r="IQ136" s="14"/>
      <c r="IR136" s="14"/>
      <c r="IS136" s="14"/>
      <c r="IT136" s="14"/>
      <c r="IU136" s="14"/>
      <c r="IV136" s="14"/>
    </row>
    <row r="137" spans="2:256" ht="30" customHeight="1" x14ac:dyDescent="0.25">
      <c r="B137" s="14"/>
      <c r="C137" s="102">
        <v>317259.92</v>
      </c>
      <c r="D137" s="103" t="s">
        <v>578</v>
      </c>
      <c r="E137" s="104"/>
      <c r="F137" s="105"/>
      <c r="G137" s="126"/>
      <c r="H137" s="104"/>
      <c r="I137" s="104"/>
      <c r="J137" s="154"/>
      <c r="K137" s="107"/>
      <c r="L137" s="107"/>
      <c r="M137" s="107"/>
      <c r="N137" s="108"/>
      <c r="O137" s="109"/>
      <c r="P137" s="109"/>
      <c r="Q137" s="109"/>
      <c r="R137" s="107"/>
      <c r="S137" s="107"/>
      <c r="T137" s="107">
        <f t="shared" si="42"/>
        <v>0</v>
      </c>
      <c r="U137" s="107">
        <v>530000</v>
      </c>
      <c r="V137" s="107">
        <v>263673.71999999997</v>
      </c>
      <c r="W137" s="107">
        <f t="shared" si="44"/>
        <v>527347.43999999994</v>
      </c>
      <c r="X137" s="110">
        <f>U137</f>
        <v>530000</v>
      </c>
      <c r="Y137" s="107">
        <v>439456</v>
      </c>
      <c r="Z137" s="107">
        <f t="shared" si="37"/>
        <v>527347.19999999995</v>
      </c>
      <c r="AA137" s="110"/>
      <c r="AB137" s="110">
        <f>380382+34580</f>
        <v>414962</v>
      </c>
      <c r="AC137" s="110">
        <v>498000</v>
      </c>
      <c r="AD137" s="108">
        <f t="shared" si="43"/>
        <v>498000</v>
      </c>
      <c r="AE137" s="107">
        <v>521000</v>
      </c>
      <c r="AF137" s="107">
        <v>521000</v>
      </c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4"/>
      <c r="FP137" s="14"/>
      <c r="FQ137" s="14"/>
      <c r="FR137" s="14"/>
      <c r="FS137" s="14"/>
      <c r="FT137" s="14"/>
      <c r="FU137" s="14"/>
      <c r="FV137" s="14"/>
      <c r="FW137" s="14"/>
      <c r="FX137" s="14"/>
      <c r="FY137" s="14"/>
      <c r="FZ137" s="14"/>
      <c r="GA137" s="14"/>
      <c r="GB137" s="14"/>
      <c r="GC137" s="14"/>
      <c r="GD137" s="14"/>
      <c r="GE137" s="14"/>
      <c r="GF137" s="14"/>
      <c r="GG137" s="14"/>
      <c r="GH137" s="14"/>
      <c r="GI137" s="14"/>
      <c r="GJ137" s="14"/>
      <c r="GK137" s="14"/>
      <c r="GL137" s="14"/>
      <c r="GM137" s="14"/>
      <c r="GN137" s="14"/>
      <c r="GO137" s="14"/>
      <c r="GP137" s="14"/>
      <c r="GQ137" s="14"/>
      <c r="GR137" s="14"/>
      <c r="GS137" s="14"/>
      <c r="GT137" s="14"/>
      <c r="GU137" s="14"/>
      <c r="GV137" s="14"/>
      <c r="GW137" s="14"/>
      <c r="GX137" s="14"/>
      <c r="GY137" s="14"/>
      <c r="GZ137" s="14"/>
      <c r="HA137" s="14"/>
      <c r="HB137" s="14"/>
      <c r="HC137" s="14"/>
      <c r="HD137" s="14"/>
      <c r="HE137" s="14"/>
      <c r="HF137" s="14"/>
      <c r="HG137" s="14"/>
      <c r="HH137" s="14"/>
      <c r="HI137" s="14"/>
      <c r="HJ137" s="14"/>
      <c r="HK137" s="14"/>
      <c r="HL137" s="14"/>
      <c r="HM137" s="14"/>
      <c r="HN137" s="14"/>
      <c r="HO137" s="14"/>
      <c r="HP137" s="14"/>
      <c r="HQ137" s="14"/>
      <c r="HR137" s="14"/>
      <c r="HS137" s="14"/>
      <c r="HT137" s="14"/>
      <c r="HU137" s="14"/>
      <c r="HV137" s="14"/>
      <c r="HW137" s="14"/>
      <c r="HX137" s="14"/>
      <c r="HY137" s="14"/>
      <c r="HZ137" s="14"/>
      <c r="IA137" s="14"/>
      <c r="IB137" s="14"/>
      <c r="IC137" s="14"/>
      <c r="ID137" s="14"/>
      <c r="IE137" s="14"/>
      <c r="IF137" s="14"/>
      <c r="IG137" s="14"/>
      <c r="IH137" s="14"/>
      <c r="II137" s="14"/>
      <c r="IJ137" s="14"/>
      <c r="IK137" s="14"/>
      <c r="IL137" s="14"/>
      <c r="IM137" s="14"/>
      <c r="IN137" s="14"/>
      <c r="IO137" s="14"/>
      <c r="IP137" s="14"/>
      <c r="IQ137" s="14"/>
      <c r="IR137" s="14"/>
      <c r="IS137" s="14"/>
      <c r="IT137" s="14"/>
      <c r="IU137" s="14"/>
      <c r="IV137" s="14"/>
    </row>
    <row r="138" spans="2:256" ht="30" customHeight="1" x14ac:dyDescent="0.25">
      <c r="B138" s="14"/>
      <c r="C138" s="102">
        <v>317473.91999999998</v>
      </c>
      <c r="D138" s="103" t="s">
        <v>579</v>
      </c>
      <c r="E138" s="104"/>
      <c r="F138" s="105"/>
      <c r="G138" s="126"/>
      <c r="H138" s="104"/>
      <c r="I138" s="104"/>
      <c r="J138" s="154"/>
      <c r="K138" s="107"/>
      <c r="L138" s="107"/>
      <c r="M138" s="107"/>
      <c r="N138" s="108"/>
      <c r="O138" s="109"/>
      <c r="P138" s="109"/>
      <c r="Q138" s="109"/>
      <c r="R138" s="107"/>
      <c r="S138" s="107"/>
      <c r="T138" s="107">
        <f t="shared" si="42"/>
        <v>0</v>
      </c>
      <c r="U138" s="107">
        <v>1000000</v>
      </c>
      <c r="V138" s="107">
        <v>654374.92000000004</v>
      </c>
      <c r="W138" s="107">
        <f t="shared" si="44"/>
        <v>1308749.8400000001</v>
      </c>
      <c r="X138" s="110">
        <v>1308000</v>
      </c>
      <c r="Y138" s="107">
        <v>822669</v>
      </c>
      <c r="Z138" s="107">
        <f t="shared" si="37"/>
        <v>987202.8</v>
      </c>
      <c r="AA138" s="110">
        <v>1300000</v>
      </c>
      <c r="AB138" s="110">
        <f>874712+76481</f>
        <v>951193</v>
      </c>
      <c r="AC138" s="110">
        <v>1141000</v>
      </c>
      <c r="AD138" s="108">
        <f t="shared" si="43"/>
        <v>1141000</v>
      </c>
      <c r="AE138" s="107">
        <v>1190000</v>
      </c>
      <c r="AF138" s="107">
        <v>1190000</v>
      </c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  <c r="FO138" s="14"/>
      <c r="FP138" s="14"/>
      <c r="FQ138" s="14"/>
      <c r="FR138" s="14"/>
      <c r="FS138" s="14"/>
      <c r="FT138" s="14"/>
      <c r="FU138" s="14"/>
      <c r="FV138" s="14"/>
      <c r="FW138" s="14"/>
      <c r="FX138" s="14"/>
      <c r="FY138" s="14"/>
      <c r="FZ138" s="14"/>
      <c r="GA138" s="14"/>
      <c r="GB138" s="14"/>
      <c r="GC138" s="14"/>
      <c r="GD138" s="14"/>
      <c r="GE138" s="14"/>
      <c r="GF138" s="14"/>
      <c r="GG138" s="14"/>
      <c r="GH138" s="14"/>
      <c r="GI138" s="14"/>
      <c r="GJ138" s="14"/>
      <c r="GK138" s="14"/>
      <c r="GL138" s="14"/>
      <c r="GM138" s="14"/>
      <c r="GN138" s="14"/>
      <c r="GO138" s="14"/>
      <c r="GP138" s="14"/>
      <c r="GQ138" s="14"/>
      <c r="GR138" s="14"/>
      <c r="GS138" s="14"/>
      <c r="GT138" s="14"/>
      <c r="GU138" s="14"/>
      <c r="GV138" s="14"/>
      <c r="GW138" s="14"/>
      <c r="GX138" s="14"/>
      <c r="GY138" s="14"/>
      <c r="GZ138" s="14"/>
      <c r="HA138" s="14"/>
      <c r="HB138" s="14"/>
      <c r="HC138" s="14"/>
      <c r="HD138" s="14"/>
      <c r="HE138" s="14"/>
      <c r="HF138" s="14"/>
      <c r="HG138" s="14"/>
      <c r="HH138" s="14"/>
      <c r="HI138" s="14"/>
      <c r="HJ138" s="14"/>
      <c r="HK138" s="14"/>
      <c r="HL138" s="14"/>
      <c r="HM138" s="14"/>
      <c r="HN138" s="14"/>
      <c r="HO138" s="14"/>
      <c r="HP138" s="14"/>
      <c r="HQ138" s="14"/>
      <c r="HR138" s="14"/>
      <c r="HS138" s="14"/>
      <c r="HT138" s="14"/>
      <c r="HU138" s="14"/>
      <c r="HV138" s="14"/>
      <c r="HW138" s="14"/>
      <c r="HX138" s="14"/>
      <c r="HY138" s="14"/>
      <c r="HZ138" s="14"/>
      <c r="IA138" s="14"/>
      <c r="IB138" s="14"/>
      <c r="IC138" s="14"/>
      <c r="ID138" s="14"/>
      <c r="IE138" s="14"/>
      <c r="IF138" s="14"/>
      <c r="IG138" s="14"/>
      <c r="IH138" s="14"/>
      <c r="II138" s="14"/>
      <c r="IJ138" s="14"/>
      <c r="IK138" s="14"/>
      <c r="IL138" s="14"/>
      <c r="IM138" s="14"/>
      <c r="IN138" s="14"/>
      <c r="IO138" s="14"/>
      <c r="IP138" s="14"/>
      <c r="IQ138" s="14"/>
      <c r="IR138" s="14"/>
      <c r="IS138" s="14"/>
      <c r="IT138" s="14"/>
      <c r="IU138" s="14"/>
      <c r="IV138" s="14"/>
    </row>
    <row r="139" spans="2:256" ht="30" customHeight="1" x14ac:dyDescent="0.25">
      <c r="B139" s="14"/>
      <c r="C139" s="102">
        <v>317500.42</v>
      </c>
      <c r="D139" s="103" t="s">
        <v>607</v>
      </c>
      <c r="E139" s="104"/>
      <c r="F139" s="105"/>
      <c r="G139" s="126"/>
      <c r="H139" s="104"/>
      <c r="I139" s="104"/>
      <c r="J139" s="154"/>
      <c r="K139" s="107"/>
      <c r="L139" s="107"/>
      <c r="M139" s="107"/>
      <c r="N139" s="108"/>
      <c r="O139" s="109"/>
      <c r="P139" s="109"/>
      <c r="Q139" s="109"/>
      <c r="R139" s="107"/>
      <c r="S139" s="107"/>
      <c r="T139" s="107"/>
      <c r="U139" s="107"/>
      <c r="V139" s="107"/>
      <c r="W139" s="107"/>
      <c r="X139" s="110"/>
      <c r="Y139" s="107">
        <v>100099</v>
      </c>
      <c r="Z139" s="107">
        <f t="shared" si="37"/>
        <v>120118.8</v>
      </c>
      <c r="AA139" s="110"/>
      <c r="AB139" s="110">
        <v>187917</v>
      </c>
      <c r="AC139" s="110">
        <f>AB139*12/10</f>
        <v>225500.4</v>
      </c>
      <c r="AD139" s="108">
        <f t="shared" si="43"/>
        <v>225500.4</v>
      </c>
      <c r="AE139" s="107">
        <v>33000</v>
      </c>
      <c r="AF139" s="107">
        <v>300000</v>
      </c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  <c r="FO139" s="14"/>
      <c r="FP139" s="14"/>
      <c r="FQ139" s="14"/>
      <c r="FR139" s="14"/>
      <c r="FS139" s="14"/>
      <c r="FT139" s="14"/>
      <c r="FU139" s="14"/>
      <c r="FV139" s="14"/>
      <c r="FW139" s="14"/>
      <c r="FX139" s="14"/>
      <c r="FY139" s="14"/>
      <c r="FZ139" s="14"/>
      <c r="GA139" s="14"/>
      <c r="GB139" s="14"/>
      <c r="GC139" s="14"/>
      <c r="GD139" s="14"/>
      <c r="GE139" s="14"/>
      <c r="GF139" s="14"/>
      <c r="GG139" s="14"/>
      <c r="GH139" s="14"/>
      <c r="GI139" s="14"/>
      <c r="GJ139" s="14"/>
      <c r="GK139" s="14"/>
      <c r="GL139" s="14"/>
      <c r="GM139" s="14"/>
      <c r="GN139" s="14"/>
      <c r="GO139" s="14"/>
      <c r="GP139" s="14"/>
      <c r="GQ139" s="14"/>
      <c r="GR139" s="14"/>
      <c r="GS139" s="14"/>
      <c r="GT139" s="14"/>
      <c r="GU139" s="14"/>
      <c r="GV139" s="14"/>
      <c r="GW139" s="14"/>
      <c r="GX139" s="14"/>
      <c r="GY139" s="14"/>
      <c r="GZ139" s="14"/>
      <c r="HA139" s="14"/>
      <c r="HB139" s="14"/>
      <c r="HC139" s="14"/>
      <c r="HD139" s="14"/>
      <c r="HE139" s="14"/>
      <c r="HF139" s="14"/>
      <c r="HG139" s="14"/>
      <c r="HH139" s="14"/>
      <c r="HI139" s="14"/>
      <c r="HJ139" s="14"/>
      <c r="HK139" s="14"/>
      <c r="HL139" s="14"/>
      <c r="HM139" s="14"/>
      <c r="HN139" s="14"/>
      <c r="HO139" s="14"/>
      <c r="HP139" s="14"/>
      <c r="HQ139" s="14"/>
      <c r="HR139" s="14"/>
      <c r="HS139" s="14"/>
      <c r="HT139" s="14"/>
      <c r="HU139" s="14"/>
      <c r="HV139" s="14"/>
      <c r="HW139" s="14"/>
      <c r="HX139" s="14"/>
      <c r="HY139" s="14"/>
      <c r="HZ139" s="14"/>
      <c r="IA139" s="14"/>
      <c r="IB139" s="14"/>
      <c r="IC139" s="14"/>
      <c r="ID139" s="14"/>
      <c r="IE139" s="14"/>
      <c r="IF139" s="14"/>
      <c r="IG139" s="14"/>
      <c r="IH139" s="14"/>
      <c r="II139" s="14"/>
      <c r="IJ139" s="14"/>
      <c r="IK139" s="14"/>
      <c r="IL139" s="14"/>
      <c r="IM139" s="14"/>
      <c r="IN139" s="14"/>
      <c r="IO139" s="14"/>
      <c r="IP139" s="14"/>
      <c r="IQ139" s="14"/>
      <c r="IR139" s="14"/>
      <c r="IS139" s="14"/>
      <c r="IT139" s="14"/>
      <c r="IU139" s="14"/>
      <c r="IV139" s="14"/>
    </row>
    <row r="140" spans="2:256" ht="30" customHeight="1" x14ac:dyDescent="0.25">
      <c r="B140" s="14"/>
      <c r="C140" s="102">
        <v>317600.92</v>
      </c>
      <c r="D140" s="103" t="s">
        <v>304</v>
      </c>
      <c r="E140" s="104">
        <v>1350000</v>
      </c>
      <c r="F140" s="105"/>
      <c r="G140" s="126">
        <v>1286377</v>
      </c>
      <c r="H140" s="104">
        <v>1350000</v>
      </c>
      <c r="I140" s="104">
        <f t="shared" si="41"/>
        <v>1.3333333333333333</v>
      </c>
      <c r="J140" s="154"/>
      <c r="K140" s="107">
        <v>1290000</v>
      </c>
      <c r="L140" s="107">
        <v>966259</v>
      </c>
      <c r="M140" s="107">
        <v>1189124</v>
      </c>
      <c r="N140" s="108"/>
      <c r="O140" s="109">
        <v>1300000</v>
      </c>
      <c r="P140" s="109">
        <v>866000</v>
      </c>
      <c r="Q140" s="109">
        <f>P140/7*5</f>
        <v>618571.42857142852</v>
      </c>
      <c r="R140" s="107">
        <v>1320000</v>
      </c>
      <c r="S140" s="107">
        <v>1048700</v>
      </c>
      <c r="T140" s="107">
        <f t="shared" si="42"/>
        <v>1484571.4285714286</v>
      </c>
      <c r="U140" s="107">
        <v>0</v>
      </c>
      <c r="V140" s="107">
        <v>0</v>
      </c>
      <c r="W140" s="107">
        <f>V140*2</f>
        <v>0</v>
      </c>
      <c r="X140" s="110">
        <f>U140</f>
        <v>0</v>
      </c>
      <c r="Y140" s="107"/>
      <c r="Z140" s="107">
        <f t="shared" si="37"/>
        <v>0</v>
      </c>
      <c r="AA140" s="110">
        <v>120000</v>
      </c>
      <c r="AB140" s="110">
        <v>81253</v>
      </c>
      <c r="AC140" s="110">
        <v>97500</v>
      </c>
      <c r="AD140" s="108">
        <f t="shared" si="43"/>
        <v>97500</v>
      </c>
      <c r="AE140" s="107">
        <v>19000</v>
      </c>
      <c r="AF140" s="107">
        <v>19000</v>
      </c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  <c r="FH140" s="14"/>
      <c r="FI140" s="14"/>
      <c r="FJ140" s="14"/>
      <c r="FK140" s="14"/>
      <c r="FL140" s="14"/>
      <c r="FM140" s="14"/>
      <c r="FN140" s="14"/>
      <c r="FO140" s="14"/>
      <c r="FP140" s="14"/>
      <c r="FQ140" s="14"/>
      <c r="FR140" s="14"/>
      <c r="FS140" s="14"/>
      <c r="FT140" s="14"/>
      <c r="FU140" s="14"/>
      <c r="FV140" s="14"/>
      <c r="FW140" s="14"/>
      <c r="FX140" s="14"/>
      <c r="FY140" s="14"/>
      <c r="FZ140" s="14"/>
      <c r="GA140" s="14"/>
      <c r="GB140" s="14"/>
      <c r="GC140" s="14"/>
      <c r="GD140" s="14"/>
      <c r="GE140" s="14"/>
      <c r="GF140" s="14"/>
      <c r="GG140" s="14"/>
      <c r="GH140" s="14"/>
      <c r="GI140" s="14"/>
      <c r="GJ140" s="14"/>
      <c r="GK140" s="14"/>
      <c r="GL140" s="14"/>
      <c r="GM140" s="14"/>
      <c r="GN140" s="14"/>
      <c r="GO140" s="14"/>
      <c r="GP140" s="14"/>
      <c r="GQ140" s="14"/>
      <c r="GR140" s="14"/>
      <c r="GS140" s="14"/>
      <c r="GT140" s="14"/>
      <c r="GU140" s="14"/>
      <c r="GV140" s="14"/>
      <c r="GW140" s="14"/>
      <c r="GX140" s="14"/>
      <c r="GY140" s="14"/>
      <c r="GZ140" s="14"/>
      <c r="HA140" s="14"/>
      <c r="HB140" s="14"/>
      <c r="HC140" s="14"/>
      <c r="HD140" s="14"/>
      <c r="HE140" s="14"/>
      <c r="HF140" s="14"/>
      <c r="HG140" s="14"/>
      <c r="HH140" s="14"/>
      <c r="HI140" s="14"/>
      <c r="HJ140" s="14"/>
      <c r="HK140" s="14"/>
      <c r="HL140" s="14"/>
      <c r="HM140" s="14"/>
      <c r="HN140" s="14"/>
      <c r="HO140" s="14"/>
      <c r="HP140" s="14"/>
      <c r="HQ140" s="14"/>
      <c r="HR140" s="14"/>
      <c r="HS140" s="14"/>
      <c r="HT140" s="14"/>
      <c r="HU140" s="14"/>
      <c r="HV140" s="14"/>
      <c r="HW140" s="14"/>
      <c r="HX140" s="14"/>
      <c r="HY140" s="14"/>
      <c r="HZ140" s="14"/>
      <c r="IA140" s="14"/>
      <c r="IB140" s="14"/>
      <c r="IC140" s="14"/>
      <c r="ID140" s="14"/>
      <c r="IE140" s="14"/>
      <c r="IF140" s="14"/>
      <c r="IG140" s="14"/>
      <c r="IH140" s="14"/>
      <c r="II140" s="14"/>
      <c r="IJ140" s="14"/>
      <c r="IK140" s="14"/>
      <c r="IL140" s="14"/>
      <c r="IM140" s="14"/>
      <c r="IN140" s="14"/>
      <c r="IO140" s="14"/>
      <c r="IP140" s="14"/>
      <c r="IQ140" s="14"/>
      <c r="IR140" s="14"/>
      <c r="IS140" s="14"/>
      <c r="IT140" s="14"/>
      <c r="IU140" s="14"/>
      <c r="IV140" s="14"/>
    </row>
    <row r="141" spans="2:256" ht="30" customHeight="1" x14ac:dyDescent="0.25">
      <c r="B141" s="14">
        <v>186974</v>
      </c>
      <c r="C141" s="143">
        <v>317800.42</v>
      </c>
      <c r="D141" s="103" t="s">
        <v>305</v>
      </c>
      <c r="E141" s="104">
        <v>180000</v>
      </c>
      <c r="F141" s="105"/>
      <c r="G141" s="160">
        <v>0</v>
      </c>
      <c r="H141" s="104">
        <v>170000</v>
      </c>
      <c r="I141" s="104">
        <f t="shared" si="41"/>
        <v>1.3333333333333333</v>
      </c>
      <c r="J141" s="154"/>
      <c r="K141" s="107">
        <v>200000</v>
      </c>
      <c r="L141" s="107">
        <v>146170</v>
      </c>
      <c r="M141" s="107">
        <v>133429</v>
      </c>
      <c r="N141" s="108"/>
      <c r="O141" s="109">
        <f>M141*4/3</f>
        <v>177905.33333333334</v>
      </c>
      <c r="P141" s="109">
        <v>85000</v>
      </c>
      <c r="Q141" s="109">
        <f>P141/7*5</f>
        <v>60714.285714285717</v>
      </c>
      <c r="R141" s="107">
        <v>200000</v>
      </c>
      <c r="S141" s="107">
        <v>200000</v>
      </c>
      <c r="T141" s="107">
        <f t="shared" si="42"/>
        <v>145714.28571428571</v>
      </c>
      <c r="U141" s="107">
        <f>S141</f>
        <v>200000</v>
      </c>
      <c r="V141" s="107">
        <v>71496.87</v>
      </c>
      <c r="W141" s="107">
        <f>V141*2</f>
        <v>142993.74</v>
      </c>
      <c r="X141" s="110">
        <v>150000</v>
      </c>
      <c r="Y141" s="107">
        <v>148050</v>
      </c>
      <c r="Z141" s="107">
        <f t="shared" si="37"/>
        <v>177660</v>
      </c>
      <c r="AA141" s="110">
        <v>170000</v>
      </c>
      <c r="AB141" s="110">
        <v>153685</v>
      </c>
      <c r="AC141" s="110">
        <v>200000</v>
      </c>
      <c r="AD141" s="108">
        <f t="shared" si="43"/>
        <v>200000</v>
      </c>
      <c r="AE141" s="107">
        <v>200000</v>
      </c>
      <c r="AF141" s="107">
        <v>200000</v>
      </c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  <c r="FS141" s="14"/>
      <c r="FT141" s="14"/>
      <c r="FU141" s="14"/>
      <c r="FV141" s="14"/>
      <c r="FW141" s="14"/>
      <c r="FX141" s="14"/>
      <c r="FY141" s="14"/>
      <c r="FZ141" s="14"/>
      <c r="GA141" s="14"/>
      <c r="GB141" s="14"/>
      <c r="GC141" s="14"/>
      <c r="GD141" s="14"/>
      <c r="GE141" s="14"/>
      <c r="GF141" s="14"/>
      <c r="GG141" s="14"/>
      <c r="GH141" s="14"/>
      <c r="GI141" s="14"/>
      <c r="GJ141" s="14"/>
      <c r="GK141" s="14"/>
      <c r="GL141" s="14"/>
      <c r="GM141" s="14"/>
      <c r="GN141" s="14"/>
      <c r="GO141" s="14"/>
      <c r="GP141" s="14"/>
      <c r="GQ141" s="14"/>
      <c r="GR141" s="14"/>
      <c r="GS141" s="14"/>
      <c r="GT141" s="14"/>
      <c r="GU141" s="14"/>
      <c r="GV141" s="14"/>
      <c r="GW141" s="14"/>
      <c r="GX141" s="14"/>
      <c r="GY141" s="14"/>
      <c r="GZ141" s="14"/>
      <c r="HA141" s="14"/>
      <c r="HB141" s="14"/>
      <c r="HC141" s="14"/>
      <c r="HD141" s="14"/>
      <c r="HE141" s="14"/>
      <c r="HF141" s="14"/>
      <c r="HG141" s="14"/>
      <c r="HH141" s="14"/>
      <c r="HI141" s="14"/>
      <c r="HJ141" s="14"/>
      <c r="HK141" s="14"/>
      <c r="HL141" s="14"/>
      <c r="HM141" s="14"/>
      <c r="HN141" s="14"/>
      <c r="HO141" s="14"/>
      <c r="HP141" s="14"/>
      <c r="HQ141" s="14"/>
      <c r="HR141" s="14"/>
      <c r="HS141" s="14"/>
      <c r="HT141" s="14"/>
      <c r="HU141" s="14"/>
      <c r="HV141" s="14"/>
      <c r="HW141" s="14"/>
      <c r="HX141" s="14"/>
      <c r="HY141" s="14"/>
      <c r="HZ141" s="14"/>
      <c r="IA141" s="14"/>
      <c r="IB141" s="14"/>
      <c r="IC141" s="14"/>
      <c r="ID141" s="14"/>
      <c r="IE141" s="14"/>
      <c r="IF141" s="14"/>
      <c r="IG141" s="14"/>
      <c r="IH141" s="14"/>
      <c r="II141" s="14"/>
      <c r="IJ141" s="14"/>
      <c r="IK141" s="14"/>
      <c r="IL141" s="14"/>
      <c r="IM141" s="14"/>
      <c r="IN141" s="14"/>
      <c r="IO141" s="14"/>
      <c r="IP141" s="14"/>
      <c r="IQ141" s="14"/>
      <c r="IR141" s="14"/>
      <c r="IS141" s="14"/>
      <c r="IT141" s="14"/>
      <c r="IU141" s="14"/>
      <c r="IV141" s="14"/>
    </row>
    <row r="142" spans="2:256" ht="30" customHeight="1" x14ac:dyDescent="0.25">
      <c r="B142" s="14"/>
      <c r="C142" s="143">
        <v>317901.92</v>
      </c>
      <c r="D142" s="103" t="s">
        <v>586</v>
      </c>
      <c r="E142" s="104"/>
      <c r="F142" s="105"/>
      <c r="G142" s="126"/>
      <c r="H142" s="104"/>
      <c r="I142" s="104"/>
      <c r="J142" s="154"/>
      <c r="K142" s="107"/>
      <c r="L142" s="161"/>
      <c r="M142" s="107"/>
      <c r="N142" s="108"/>
      <c r="O142" s="109"/>
      <c r="P142" s="109"/>
      <c r="Q142" s="109"/>
      <c r="R142" s="107">
        <v>0</v>
      </c>
      <c r="S142" s="107">
        <v>0</v>
      </c>
      <c r="T142" s="107">
        <f t="shared" si="42"/>
        <v>0</v>
      </c>
      <c r="U142" s="107">
        <v>65000</v>
      </c>
      <c r="V142" s="107">
        <v>145355</v>
      </c>
      <c r="W142" s="107">
        <f>V142*2</f>
        <v>290710</v>
      </c>
      <c r="X142" s="110">
        <v>292000</v>
      </c>
      <c r="Y142" s="107">
        <v>229412</v>
      </c>
      <c r="Z142" s="107">
        <f t="shared" si="37"/>
        <v>275294.40000000002</v>
      </c>
      <c r="AA142" s="110"/>
      <c r="AB142" s="110">
        <v>5863</v>
      </c>
      <c r="AC142" s="110">
        <v>7000</v>
      </c>
      <c r="AD142" s="108">
        <f t="shared" si="43"/>
        <v>7000</v>
      </c>
      <c r="AE142" s="161"/>
      <c r="AF142" s="161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  <c r="GC142" s="14"/>
      <c r="GD142" s="14"/>
      <c r="GE142" s="14"/>
      <c r="GF142" s="14"/>
      <c r="GG142" s="14"/>
      <c r="GH142" s="14"/>
      <c r="GI142" s="14"/>
      <c r="GJ142" s="14"/>
      <c r="GK142" s="14"/>
      <c r="GL142" s="14"/>
      <c r="GM142" s="14"/>
      <c r="GN142" s="14"/>
      <c r="GO142" s="14"/>
      <c r="GP142" s="14"/>
      <c r="GQ142" s="14"/>
      <c r="GR142" s="14"/>
      <c r="GS142" s="14"/>
      <c r="GT142" s="14"/>
      <c r="GU142" s="14"/>
      <c r="GV142" s="14"/>
      <c r="GW142" s="14"/>
      <c r="GX142" s="14"/>
      <c r="GY142" s="14"/>
      <c r="GZ142" s="14"/>
      <c r="HA142" s="14"/>
      <c r="HB142" s="14"/>
      <c r="HC142" s="14"/>
      <c r="HD142" s="14"/>
      <c r="HE142" s="14"/>
      <c r="HF142" s="14"/>
      <c r="HG142" s="14"/>
      <c r="HH142" s="14"/>
      <c r="HI142" s="14"/>
      <c r="HJ142" s="14"/>
      <c r="HK142" s="14"/>
      <c r="HL142" s="14"/>
      <c r="HM142" s="14"/>
      <c r="HN142" s="14"/>
      <c r="HO142" s="14"/>
      <c r="HP142" s="14"/>
      <c r="HQ142" s="14"/>
      <c r="HR142" s="14"/>
      <c r="HS142" s="14"/>
      <c r="HT142" s="14"/>
      <c r="HU142" s="14"/>
      <c r="HV142" s="14"/>
      <c r="HW142" s="14"/>
      <c r="HX142" s="14"/>
      <c r="HY142" s="14"/>
      <c r="HZ142" s="14"/>
      <c r="IA142" s="14"/>
      <c r="IB142" s="14"/>
      <c r="IC142" s="14"/>
      <c r="ID142" s="14"/>
      <c r="IE142" s="14"/>
      <c r="IF142" s="14"/>
      <c r="IG142" s="14"/>
      <c r="IH142" s="14"/>
      <c r="II142" s="14"/>
      <c r="IJ142" s="14"/>
      <c r="IK142" s="14"/>
      <c r="IL142" s="14"/>
      <c r="IM142" s="14"/>
      <c r="IN142" s="14"/>
      <c r="IO142" s="14"/>
      <c r="IP142" s="14"/>
      <c r="IQ142" s="14"/>
      <c r="IR142" s="14"/>
      <c r="IS142" s="14"/>
      <c r="IT142" s="14"/>
      <c r="IU142" s="14"/>
      <c r="IV142" s="14"/>
    </row>
    <row r="143" spans="2:256" ht="30" customHeight="1" x14ac:dyDescent="0.25">
      <c r="B143" s="14"/>
      <c r="C143" s="102">
        <v>317910.92</v>
      </c>
      <c r="D143" s="103" t="s">
        <v>459</v>
      </c>
      <c r="E143" s="104">
        <v>10000</v>
      </c>
      <c r="F143" s="105"/>
      <c r="G143" s="160">
        <v>0</v>
      </c>
      <c r="H143" s="104">
        <v>10000</v>
      </c>
      <c r="I143" s="104">
        <f t="shared" si="41"/>
        <v>1.3333333333333333</v>
      </c>
      <c r="J143" s="154"/>
      <c r="K143" s="107">
        <v>1430000</v>
      </c>
      <c r="L143" s="161">
        <v>920794</v>
      </c>
      <c r="M143" s="107">
        <v>1724018</v>
      </c>
      <c r="N143" s="108"/>
      <c r="O143" s="109">
        <f>M143*4/3</f>
        <v>2298690.6666666665</v>
      </c>
      <c r="P143" s="109">
        <v>1496000</v>
      </c>
      <c r="Q143" s="109">
        <f>P143/7*5</f>
        <v>1068571.4285714286</v>
      </c>
      <c r="R143" s="107">
        <v>1750000</v>
      </c>
      <c r="S143" s="107">
        <v>2301600</v>
      </c>
      <c r="T143" s="107">
        <f t="shared" si="42"/>
        <v>2564571.4285714286</v>
      </c>
      <c r="U143" s="107">
        <v>700000</v>
      </c>
      <c r="V143" s="107">
        <f>1966529.45-718000</f>
        <v>1248529.45</v>
      </c>
      <c r="W143" s="107">
        <f>V143*2</f>
        <v>2497058.9</v>
      </c>
      <c r="X143" s="110">
        <v>2497000</v>
      </c>
      <c r="Y143" s="107">
        <v>2867622</v>
      </c>
      <c r="Z143" s="107">
        <f t="shared" si="37"/>
        <v>3441146.4</v>
      </c>
      <c r="AA143" s="110">
        <v>2500000</v>
      </c>
      <c r="AB143" s="110">
        <f>4340533+98831+7966+1666+10925+1895+21754+59244-6240+25500</f>
        <v>4562074</v>
      </c>
      <c r="AC143" s="110">
        <f>5475000-32000-250000-450000-320000-150000-72000-300000-300000-400000-120000-309000</f>
        <v>2772000</v>
      </c>
      <c r="AD143" s="108">
        <f t="shared" si="43"/>
        <v>2772000</v>
      </c>
      <c r="AE143" s="107">
        <f>600000-320000</f>
        <v>280000</v>
      </c>
      <c r="AF143" s="107">
        <v>280000</v>
      </c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  <c r="FO143" s="14"/>
      <c r="FP143" s="14"/>
      <c r="FQ143" s="14"/>
      <c r="FR143" s="14"/>
      <c r="FS143" s="14"/>
      <c r="FT143" s="14"/>
      <c r="FU143" s="14"/>
      <c r="FV143" s="14"/>
      <c r="FW143" s="14"/>
      <c r="FX143" s="14"/>
      <c r="FY143" s="14"/>
      <c r="FZ143" s="14"/>
      <c r="GA143" s="14"/>
      <c r="GB143" s="14"/>
      <c r="GC143" s="14"/>
      <c r="GD143" s="14"/>
      <c r="GE143" s="14"/>
      <c r="GF143" s="14"/>
      <c r="GG143" s="14"/>
      <c r="GH143" s="14"/>
      <c r="GI143" s="14"/>
      <c r="GJ143" s="14"/>
      <c r="GK143" s="14"/>
      <c r="GL143" s="14"/>
      <c r="GM143" s="14"/>
      <c r="GN143" s="14"/>
      <c r="GO143" s="14"/>
      <c r="GP143" s="14"/>
      <c r="GQ143" s="14"/>
      <c r="GR143" s="14"/>
      <c r="GS143" s="14"/>
      <c r="GT143" s="14"/>
      <c r="GU143" s="14"/>
      <c r="GV143" s="14"/>
      <c r="GW143" s="14"/>
      <c r="GX143" s="14"/>
      <c r="GY143" s="14"/>
      <c r="GZ143" s="14"/>
      <c r="HA143" s="14"/>
      <c r="HB143" s="14"/>
      <c r="HC143" s="14"/>
      <c r="HD143" s="14"/>
      <c r="HE143" s="14"/>
      <c r="HF143" s="14"/>
      <c r="HG143" s="14"/>
      <c r="HH143" s="14"/>
      <c r="HI143" s="14"/>
      <c r="HJ143" s="14"/>
      <c r="HK143" s="14"/>
      <c r="HL143" s="14"/>
      <c r="HM143" s="14"/>
      <c r="HN143" s="14"/>
      <c r="HO143" s="14"/>
      <c r="HP143" s="14"/>
      <c r="HQ143" s="14"/>
      <c r="HR143" s="14"/>
      <c r="HS143" s="14"/>
      <c r="HT143" s="14"/>
      <c r="HU143" s="14"/>
      <c r="HV143" s="14"/>
      <c r="HW143" s="14"/>
      <c r="HX143" s="14"/>
      <c r="HY143" s="14"/>
      <c r="HZ143" s="14"/>
      <c r="IA143" s="14"/>
      <c r="IB143" s="14"/>
      <c r="IC143" s="14"/>
      <c r="ID143" s="14"/>
      <c r="IE143" s="14"/>
      <c r="IF143" s="14"/>
      <c r="IG143" s="14"/>
      <c r="IH143" s="14"/>
      <c r="II143" s="14"/>
      <c r="IJ143" s="14"/>
      <c r="IK143" s="14"/>
      <c r="IL143" s="14"/>
      <c r="IM143" s="14"/>
      <c r="IN143" s="14"/>
      <c r="IO143" s="14"/>
      <c r="IP143" s="14"/>
      <c r="IQ143" s="14"/>
      <c r="IR143" s="14"/>
      <c r="IS143" s="14"/>
      <c r="IT143" s="14"/>
      <c r="IU143" s="14"/>
      <c r="IV143" s="14"/>
    </row>
    <row r="144" spans="2:256" ht="30" customHeight="1" x14ac:dyDescent="0.25">
      <c r="B144" s="14"/>
      <c r="C144" s="102">
        <v>317911.40999999997</v>
      </c>
      <c r="D144" s="103" t="s">
        <v>704</v>
      </c>
      <c r="E144" s="104"/>
      <c r="F144" s="105"/>
      <c r="G144" s="160"/>
      <c r="H144" s="104"/>
      <c r="I144" s="104"/>
      <c r="J144" s="154"/>
      <c r="K144" s="107"/>
      <c r="L144" s="161"/>
      <c r="M144" s="107"/>
      <c r="N144" s="108"/>
      <c r="O144" s="109"/>
      <c r="P144" s="109"/>
      <c r="Q144" s="109"/>
      <c r="R144" s="107"/>
      <c r="S144" s="107"/>
      <c r="T144" s="107"/>
      <c r="U144" s="107"/>
      <c r="V144" s="107"/>
      <c r="W144" s="107"/>
      <c r="X144" s="110"/>
      <c r="Y144" s="107"/>
      <c r="Z144" s="107"/>
      <c r="AA144" s="110"/>
      <c r="AB144" s="110"/>
      <c r="AC144" s="110"/>
      <c r="AD144" s="108"/>
      <c r="AE144" s="107"/>
      <c r="AF144" s="148">
        <v>54000</v>
      </c>
      <c r="AG144" s="14"/>
      <c r="AH144" s="14">
        <v>3</v>
      </c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  <c r="FS144" s="14"/>
      <c r="FT144" s="14"/>
      <c r="FU144" s="14"/>
      <c r="FV144" s="14"/>
      <c r="FW144" s="14"/>
      <c r="FX144" s="14"/>
      <c r="FY144" s="14"/>
      <c r="FZ144" s="14"/>
      <c r="GA144" s="14"/>
      <c r="GB144" s="14"/>
      <c r="GC144" s="14"/>
      <c r="GD144" s="14"/>
      <c r="GE144" s="14"/>
      <c r="GF144" s="14"/>
      <c r="GG144" s="14"/>
      <c r="GH144" s="14"/>
      <c r="GI144" s="14"/>
      <c r="GJ144" s="14"/>
      <c r="GK144" s="14"/>
      <c r="GL144" s="14"/>
      <c r="GM144" s="14"/>
      <c r="GN144" s="14"/>
      <c r="GO144" s="14"/>
      <c r="GP144" s="14"/>
      <c r="GQ144" s="14"/>
      <c r="GR144" s="14"/>
      <c r="GS144" s="14"/>
      <c r="GT144" s="14"/>
      <c r="GU144" s="14"/>
      <c r="GV144" s="14"/>
      <c r="GW144" s="14"/>
      <c r="GX144" s="14"/>
      <c r="GY144" s="14"/>
      <c r="GZ144" s="14"/>
      <c r="HA144" s="14"/>
      <c r="HB144" s="14"/>
      <c r="HC144" s="14"/>
      <c r="HD144" s="14"/>
      <c r="HE144" s="14"/>
      <c r="HF144" s="14"/>
      <c r="HG144" s="14"/>
      <c r="HH144" s="14"/>
      <c r="HI144" s="14"/>
      <c r="HJ144" s="14"/>
      <c r="HK144" s="14"/>
      <c r="HL144" s="14"/>
      <c r="HM144" s="14"/>
      <c r="HN144" s="14"/>
      <c r="HO144" s="14"/>
      <c r="HP144" s="14"/>
      <c r="HQ144" s="14"/>
      <c r="HR144" s="14"/>
      <c r="HS144" s="14"/>
      <c r="HT144" s="14"/>
      <c r="HU144" s="14"/>
      <c r="HV144" s="14"/>
      <c r="HW144" s="14"/>
      <c r="HX144" s="14"/>
      <c r="HY144" s="14"/>
      <c r="HZ144" s="14"/>
      <c r="IA144" s="14"/>
      <c r="IB144" s="14"/>
      <c r="IC144" s="14"/>
      <c r="ID144" s="14"/>
      <c r="IE144" s="14"/>
      <c r="IF144" s="14"/>
      <c r="IG144" s="14"/>
      <c r="IH144" s="14"/>
      <c r="II144" s="14"/>
      <c r="IJ144" s="14"/>
      <c r="IK144" s="14"/>
      <c r="IL144" s="14"/>
      <c r="IM144" s="14"/>
      <c r="IN144" s="14"/>
      <c r="IO144" s="14"/>
      <c r="IP144" s="14"/>
      <c r="IQ144" s="14"/>
      <c r="IR144" s="14"/>
      <c r="IS144" s="14"/>
      <c r="IT144" s="14"/>
      <c r="IU144" s="14"/>
      <c r="IV144" s="14"/>
    </row>
    <row r="145" spans="2:256" ht="30" customHeight="1" x14ac:dyDescent="0.25">
      <c r="B145" s="14"/>
      <c r="C145" s="102">
        <v>317911.92</v>
      </c>
      <c r="D145" s="103" t="s">
        <v>705</v>
      </c>
      <c r="E145" s="104"/>
      <c r="F145" s="105"/>
      <c r="G145" s="160"/>
      <c r="H145" s="104"/>
      <c r="I145" s="104"/>
      <c r="J145" s="154"/>
      <c r="K145" s="107"/>
      <c r="L145" s="161"/>
      <c r="M145" s="107"/>
      <c r="N145" s="108"/>
      <c r="O145" s="109"/>
      <c r="P145" s="109"/>
      <c r="Q145" s="109"/>
      <c r="R145" s="107"/>
      <c r="S145" s="107"/>
      <c r="T145" s="107"/>
      <c r="U145" s="107"/>
      <c r="V145" s="107"/>
      <c r="W145" s="107"/>
      <c r="X145" s="110"/>
      <c r="Y145" s="107"/>
      <c r="Z145" s="107"/>
      <c r="AA145" s="110"/>
      <c r="AB145" s="110"/>
      <c r="AC145" s="110"/>
      <c r="AD145" s="108"/>
      <c r="AE145" s="107"/>
      <c r="AF145" s="148">
        <v>60000</v>
      </c>
      <c r="AG145" s="14"/>
      <c r="AH145" s="14">
        <v>4</v>
      </c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  <c r="FS145" s="14"/>
      <c r="FT145" s="14"/>
      <c r="FU145" s="14"/>
      <c r="FV145" s="14"/>
      <c r="FW145" s="14"/>
      <c r="FX145" s="14"/>
      <c r="FY145" s="14"/>
      <c r="FZ145" s="14"/>
      <c r="GA145" s="14"/>
      <c r="GB145" s="14"/>
      <c r="GC145" s="14"/>
      <c r="GD145" s="14"/>
      <c r="GE145" s="14"/>
      <c r="GF145" s="14"/>
      <c r="GG145" s="14"/>
      <c r="GH145" s="14"/>
      <c r="GI145" s="14"/>
      <c r="GJ145" s="14"/>
      <c r="GK145" s="14"/>
      <c r="GL145" s="14"/>
      <c r="GM145" s="14"/>
      <c r="GN145" s="14"/>
      <c r="GO145" s="14"/>
      <c r="GP145" s="14"/>
      <c r="GQ145" s="14"/>
      <c r="GR145" s="14"/>
      <c r="GS145" s="14"/>
      <c r="GT145" s="14"/>
      <c r="GU145" s="14"/>
      <c r="GV145" s="14"/>
      <c r="GW145" s="14"/>
      <c r="GX145" s="14"/>
      <c r="GY145" s="14"/>
      <c r="GZ145" s="14"/>
      <c r="HA145" s="14"/>
      <c r="HB145" s="14"/>
      <c r="HC145" s="14"/>
      <c r="HD145" s="14"/>
      <c r="HE145" s="14"/>
      <c r="HF145" s="14"/>
      <c r="HG145" s="14"/>
      <c r="HH145" s="14"/>
      <c r="HI145" s="14"/>
      <c r="HJ145" s="14"/>
      <c r="HK145" s="14"/>
      <c r="HL145" s="14"/>
      <c r="HM145" s="14"/>
      <c r="HN145" s="14"/>
      <c r="HO145" s="14"/>
      <c r="HP145" s="14"/>
      <c r="HQ145" s="14"/>
      <c r="HR145" s="14"/>
      <c r="HS145" s="14"/>
      <c r="HT145" s="14"/>
      <c r="HU145" s="14"/>
      <c r="HV145" s="14"/>
      <c r="HW145" s="14"/>
      <c r="HX145" s="14"/>
      <c r="HY145" s="14"/>
      <c r="HZ145" s="14"/>
      <c r="IA145" s="14"/>
      <c r="IB145" s="14"/>
      <c r="IC145" s="14"/>
      <c r="ID145" s="14"/>
      <c r="IE145" s="14"/>
      <c r="IF145" s="14"/>
      <c r="IG145" s="14"/>
      <c r="IH145" s="14"/>
      <c r="II145" s="14"/>
      <c r="IJ145" s="14"/>
      <c r="IK145" s="14"/>
      <c r="IL145" s="14"/>
      <c r="IM145" s="14"/>
      <c r="IN145" s="14"/>
      <c r="IO145" s="14"/>
      <c r="IP145" s="14"/>
      <c r="IQ145" s="14"/>
      <c r="IR145" s="14"/>
      <c r="IS145" s="14"/>
      <c r="IT145" s="14"/>
      <c r="IU145" s="14"/>
      <c r="IV145" s="14"/>
    </row>
    <row r="146" spans="2:256" ht="30" customHeight="1" x14ac:dyDescent="0.25">
      <c r="B146" s="14">
        <v>881351</v>
      </c>
      <c r="C146" s="102">
        <v>317900.92</v>
      </c>
      <c r="D146" s="144" t="s">
        <v>665</v>
      </c>
      <c r="E146" s="146">
        <v>100000</v>
      </c>
      <c r="F146" s="105"/>
      <c r="G146" s="105">
        <v>0</v>
      </c>
      <c r="H146" s="146">
        <v>0</v>
      </c>
      <c r="I146" s="146">
        <f t="shared" si="41"/>
        <v>1.3333333333333333</v>
      </c>
      <c r="J146" s="158"/>
      <c r="K146" s="162">
        <v>0</v>
      </c>
      <c r="L146" s="162">
        <v>0</v>
      </c>
      <c r="M146" s="148">
        <f>L146*4/3</f>
        <v>0</v>
      </c>
      <c r="N146" s="109">
        <f>K146</f>
        <v>0</v>
      </c>
      <c r="O146" s="109">
        <f>M146*4/3</f>
        <v>0</v>
      </c>
      <c r="P146" s="109"/>
      <c r="Q146" s="109"/>
      <c r="R146" s="162">
        <v>0</v>
      </c>
      <c r="S146" s="162">
        <v>0</v>
      </c>
      <c r="T146" s="148">
        <f t="shared" si="42"/>
        <v>0</v>
      </c>
      <c r="U146" s="148">
        <f>S146</f>
        <v>0</v>
      </c>
      <c r="V146" s="148">
        <v>0</v>
      </c>
      <c r="W146" s="148">
        <f>V146*2</f>
        <v>0</v>
      </c>
      <c r="X146" s="149">
        <f>U146</f>
        <v>0</v>
      </c>
      <c r="Y146" s="148"/>
      <c r="Z146" s="148">
        <f t="shared" si="37"/>
        <v>0</v>
      </c>
      <c r="AA146" s="149">
        <v>120000</v>
      </c>
      <c r="AB146" s="110"/>
      <c r="AC146" s="110">
        <v>120000</v>
      </c>
      <c r="AD146" s="108">
        <f t="shared" si="43"/>
        <v>120000</v>
      </c>
      <c r="AE146" s="161"/>
      <c r="AF146" s="162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  <c r="GC146" s="14"/>
      <c r="GD146" s="14"/>
      <c r="GE146" s="14"/>
      <c r="GF146" s="14"/>
      <c r="GG146" s="14"/>
      <c r="GH146" s="14"/>
      <c r="GI146" s="14"/>
      <c r="GJ146" s="14"/>
      <c r="GK146" s="14"/>
      <c r="GL146" s="14"/>
      <c r="GM146" s="14"/>
      <c r="GN146" s="14"/>
      <c r="GO146" s="14"/>
      <c r="GP146" s="14"/>
      <c r="GQ146" s="14"/>
      <c r="GR146" s="14"/>
      <c r="GS146" s="14"/>
      <c r="GT146" s="14"/>
      <c r="GU146" s="14"/>
      <c r="GV146" s="14"/>
      <c r="GW146" s="14"/>
      <c r="GX146" s="14"/>
      <c r="GY146" s="14"/>
      <c r="GZ146" s="14"/>
      <c r="HA146" s="14"/>
      <c r="HB146" s="14"/>
      <c r="HC146" s="14"/>
      <c r="HD146" s="14"/>
      <c r="HE146" s="14"/>
      <c r="HF146" s="14"/>
      <c r="HG146" s="14"/>
      <c r="HH146" s="14"/>
      <c r="HI146" s="14"/>
      <c r="HJ146" s="14"/>
      <c r="HK146" s="14"/>
      <c r="HL146" s="14"/>
      <c r="HM146" s="14"/>
      <c r="HN146" s="14"/>
      <c r="HO146" s="14"/>
      <c r="HP146" s="14"/>
      <c r="HQ146" s="14"/>
      <c r="HR146" s="14"/>
      <c r="HS146" s="14"/>
      <c r="HT146" s="14"/>
      <c r="HU146" s="14"/>
      <c r="HV146" s="14"/>
      <c r="HW146" s="14"/>
      <c r="HX146" s="14"/>
      <c r="HY146" s="14"/>
      <c r="HZ146" s="14"/>
      <c r="IA146" s="14"/>
      <c r="IB146" s="14"/>
      <c r="IC146" s="14"/>
      <c r="ID146" s="14"/>
      <c r="IE146" s="14"/>
      <c r="IF146" s="14"/>
      <c r="IG146" s="14"/>
      <c r="IH146" s="14"/>
      <c r="II146" s="14"/>
      <c r="IJ146" s="14"/>
      <c r="IK146" s="14"/>
      <c r="IL146" s="14"/>
      <c r="IM146" s="14"/>
      <c r="IN146" s="14"/>
      <c r="IO146" s="14"/>
      <c r="IP146" s="14"/>
      <c r="IQ146" s="14"/>
      <c r="IR146" s="14"/>
      <c r="IS146" s="14"/>
      <c r="IT146" s="14"/>
      <c r="IU146" s="14"/>
      <c r="IV146" s="14"/>
    </row>
    <row r="147" spans="2:256" ht="30" customHeight="1" x14ac:dyDescent="0.25">
      <c r="B147" s="14"/>
      <c r="C147" s="102">
        <v>317910.92</v>
      </c>
      <c r="D147" s="144" t="s">
        <v>702</v>
      </c>
      <c r="E147" s="146"/>
      <c r="F147" s="105"/>
      <c r="G147" s="105"/>
      <c r="H147" s="146"/>
      <c r="I147" s="146"/>
      <c r="J147" s="158"/>
      <c r="K147" s="162"/>
      <c r="L147" s="162"/>
      <c r="M147" s="148"/>
      <c r="N147" s="109"/>
      <c r="O147" s="109"/>
      <c r="P147" s="109"/>
      <c r="Q147" s="109"/>
      <c r="R147" s="162"/>
      <c r="S147" s="162"/>
      <c r="T147" s="148"/>
      <c r="U147" s="148"/>
      <c r="V147" s="148"/>
      <c r="W147" s="148"/>
      <c r="X147" s="149"/>
      <c r="Y147" s="148"/>
      <c r="Z147" s="148"/>
      <c r="AA147" s="149"/>
      <c r="AB147" s="110"/>
      <c r="AC147" s="110"/>
      <c r="AD147" s="108"/>
      <c r="AE147" s="107">
        <v>600000</v>
      </c>
      <c r="AF147" s="148">
        <v>1600000</v>
      </c>
      <c r="AG147" s="91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  <c r="FS147" s="14"/>
      <c r="FT147" s="14"/>
      <c r="FU147" s="14"/>
      <c r="FV147" s="14"/>
      <c r="FW147" s="14"/>
      <c r="FX147" s="14"/>
      <c r="FY147" s="14"/>
      <c r="FZ147" s="14"/>
      <c r="GA147" s="14"/>
      <c r="GB147" s="14"/>
      <c r="GC147" s="14"/>
      <c r="GD147" s="14"/>
      <c r="GE147" s="14"/>
      <c r="GF147" s="14"/>
      <c r="GG147" s="14"/>
      <c r="GH147" s="14"/>
      <c r="GI147" s="14"/>
      <c r="GJ147" s="14"/>
      <c r="GK147" s="14"/>
      <c r="GL147" s="14"/>
      <c r="GM147" s="14"/>
      <c r="GN147" s="14"/>
      <c r="GO147" s="14"/>
      <c r="GP147" s="14"/>
      <c r="GQ147" s="14"/>
      <c r="GR147" s="14"/>
      <c r="GS147" s="14"/>
      <c r="GT147" s="14"/>
      <c r="GU147" s="14"/>
      <c r="GV147" s="14"/>
      <c r="GW147" s="14"/>
      <c r="GX147" s="14"/>
      <c r="GY147" s="14"/>
      <c r="GZ147" s="14"/>
      <c r="HA147" s="14"/>
      <c r="HB147" s="14"/>
      <c r="HC147" s="14"/>
      <c r="HD147" s="14"/>
      <c r="HE147" s="14"/>
      <c r="HF147" s="14"/>
      <c r="HG147" s="14"/>
      <c r="HH147" s="14"/>
      <c r="HI147" s="14"/>
      <c r="HJ147" s="14"/>
      <c r="HK147" s="14"/>
      <c r="HL147" s="14"/>
      <c r="HM147" s="14"/>
      <c r="HN147" s="14"/>
      <c r="HO147" s="14"/>
      <c r="HP147" s="14"/>
      <c r="HQ147" s="14"/>
      <c r="HR147" s="14"/>
      <c r="HS147" s="14"/>
      <c r="HT147" s="14"/>
      <c r="HU147" s="14"/>
      <c r="HV147" s="14"/>
      <c r="HW147" s="14"/>
      <c r="HX147" s="14"/>
      <c r="HY147" s="14"/>
      <c r="HZ147" s="14"/>
      <c r="IA147" s="14"/>
      <c r="IB147" s="14"/>
      <c r="IC147" s="14"/>
      <c r="ID147" s="14"/>
      <c r="IE147" s="14"/>
      <c r="IF147" s="14"/>
      <c r="IG147" s="14"/>
      <c r="IH147" s="14"/>
      <c r="II147" s="14"/>
      <c r="IJ147" s="14"/>
      <c r="IK147" s="14"/>
      <c r="IL147" s="14"/>
      <c r="IM147" s="14"/>
      <c r="IN147" s="14"/>
      <c r="IO147" s="14"/>
      <c r="IP147" s="14"/>
      <c r="IQ147" s="14"/>
      <c r="IR147" s="14"/>
      <c r="IS147" s="14"/>
      <c r="IT147" s="14"/>
      <c r="IU147" s="14"/>
      <c r="IV147" s="14"/>
    </row>
    <row r="148" spans="2:256" ht="30" customHeight="1" x14ac:dyDescent="0.25">
      <c r="B148" s="14"/>
      <c r="C148" s="102">
        <v>318000.92</v>
      </c>
      <c r="D148" s="144" t="s">
        <v>615</v>
      </c>
      <c r="E148" s="146"/>
      <c r="F148" s="105"/>
      <c r="G148" s="105"/>
      <c r="H148" s="146"/>
      <c r="I148" s="146"/>
      <c r="J148" s="158"/>
      <c r="K148" s="162"/>
      <c r="L148" s="162"/>
      <c r="M148" s="148"/>
      <c r="N148" s="109"/>
      <c r="O148" s="109"/>
      <c r="P148" s="109"/>
      <c r="Q148" s="109"/>
      <c r="R148" s="162"/>
      <c r="S148" s="162"/>
      <c r="T148" s="148"/>
      <c r="U148" s="148"/>
      <c r="V148" s="148"/>
      <c r="W148" s="148"/>
      <c r="X148" s="149"/>
      <c r="Y148" s="148"/>
      <c r="Z148" s="148">
        <f t="shared" si="37"/>
        <v>0</v>
      </c>
      <c r="AA148" s="149">
        <v>309000</v>
      </c>
      <c r="AB148" s="110"/>
      <c r="AC148" s="110">
        <v>309000</v>
      </c>
      <c r="AD148" s="108">
        <f t="shared" si="43"/>
        <v>309000</v>
      </c>
      <c r="AE148" s="107">
        <v>82000</v>
      </c>
      <c r="AF148" s="107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  <c r="FS148" s="14"/>
      <c r="FT148" s="14"/>
      <c r="FU148" s="14"/>
      <c r="FV148" s="14"/>
      <c r="FW148" s="14"/>
      <c r="FX148" s="14"/>
      <c r="FY148" s="14"/>
      <c r="FZ148" s="14"/>
      <c r="GA148" s="14"/>
      <c r="GB148" s="14"/>
      <c r="GC148" s="14"/>
      <c r="GD148" s="14"/>
      <c r="GE148" s="14"/>
      <c r="GF148" s="14"/>
      <c r="GG148" s="14"/>
      <c r="GH148" s="14"/>
      <c r="GI148" s="14"/>
      <c r="GJ148" s="14"/>
      <c r="GK148" s="14"/>
      <c r="GL148" s="14"/>
      <c r="GM148" s="14"/>
      <c r="GN148" s="14"/>
      <c r="GO148" s="14"/>
      <c r="GP148" s="14"/>
      <c r="GQ148" s="14"/>
      <c r="GR148" s="14"/>
      <c r="GS148" s="14"/>
      <c r="GT148" s="14"/>
      <c r="GU148" s="14"/>
      <c r="GV148" s="14"/>
      <c r="GW148" s="14"/>
      <c r="GX148" s="14"/>
      <c r="GY148" s="14"/>
      <c r="GZ148" s="14"/>
      <c r="HA148" s="14"/>
      <c r="HB148" s="14"/>
      <c r="HC148" s="14"/>
      <c r="HD148" s="14"/>
      <c r="HE148" s="14"/>
      <c r="HF148" s="14"/>
      <c r="HG148" s="14"/>
      <c r="HH148" s="14"/>
      <c r="HI148" s="14"/>
      <c r="HJ148" s="14"/>
      <c r="HK148" s="14"/>
      <c r="HL148" s="14"/>
      <c r="HM148" s="14"/>
      <c r="HN148" s="14"/>
      <c r="HO148" s="14"/>
      <c r="HP148" s="14"/>
      <c r="HQ148" s="14"/>
      <c r="HR148" s="14"/>
      <c r="HS148" s="14"/>
      <c r="HT148" s="14"/>
      <c r="HU148" s="14"/>
      <c r="HV148" s="14"/>
      <c r="HW148" s="14"/>
      <c r="HX148" s="14"/>
      <c r="HY148" s="14"/>
      <c r="HZ148" s="14"/>
      <c r="IA148" s="14"/>
      <c r="IB148" s="14"/>
      <c r="IC148" s="14"/>
      <c r="ID148" s="14"/>
      <c r="IE148" s="14"/>
      <c r="IF148" s="14"/>
      <c r="IG148" s="14"/>
      <c r="IH148" s="14"/>
      <c r="II148" s="14"/>
      <c r="IJ148" s="14"/>
      <c r="IK148" s="14"/>
      <c r="IL148" s="14"/>
      <c r="IM148" s="14"/>
      <c r="IN148" s="14"/>
      <c r="IO148" s="14"/>
      <c r="IP148" s="14"/>
      <c r="IQ148" s="14"/>
      <c r="IR148" s="14"/>
      <c r="IS148" s="14"/>
      <c r="IT148" s="14"/>
      <c r="IU148" s="14"/>
      <c r="IV148" s="14"/>
    </row>
    <row r="149" spans="2:256" ht="30" customHeight="1" x14ac:dyDescent="0.25">
      <c r="B149" s="14"/>
      <c r="C149" s="163" t="s">
        <v>306</v>
      </c>
      <c r="D149" s="164"/>
      <c r="E149" s="165">
        <f>SUM(E129:E146)</f>
        <v>1640000</v>
      </c>
      <c r="F149" s="165">
        <f>SUM(F129:F146)</f>
        <v>0</v>
      </c>
      <c r="G149" s="165">
        <f>SUM(G129:G146)</f>
        <v>1286377</v>
      </c>
      <c r="H149" s="165">
        <f>SUM(H129:H146)</f>
        <v>1530000</v>
      </c>
      <c r="I149" s="104">
        <f t="shared" si="41"/>
        <v>1.3333333333333333</v>
      </c>
      <c r="J149" s="154"/>
      <c r="K149" s="117">
        <f t="shared" ref="K149:Q149" si="45">SUM(K129:K146)</f>
        <v>2920000</v>
      </c>
      <c r="L149" s="117">
        <f t="shared" si="45"/>
        <v>2033223</v>
      </c>
      <c r="M149" s="117">
        <f t="shared" si="45"/>
        <v>3046571</v>
      </c>
      <c r="N149" s="117">
        <f t="shared" si="45"/>
        <v>0</v>
      </c>
      <c r="O149" s="118">
        <f t="shared" si="45"/>
        <v>3776596</v>
      </c>
      <c r="P149" s="118">
        <f t="shared" si="45"/>
        <v>2447000</v>
      </c>
      <c r="Q149" s="118">
        <f t="shared" si="45"/>
        <v>1747857.1428571427</v>
      </c>
      <c r="R149" s="117">
        <f t="shared" ref="R149:W149" si="46">SUM(R129:R147)</f>
        <v>3270000</v>
      </c>
      <c r="S149" s="117">
        <f t="shared" si="46"/>
        <v>3550300</v>
      </c>
      <c r="T149" s="117">
        <f t="shared" si="46"/>
        <v>4194857.1428571427</v>
      </c>
      <c r="U149" s="117">
        <f t="shared" si="46"/>
        <v>6131347</v>
      </c>
      <c r="V149" s="117">
        <f t="shared" si="46"/>
        <v>4320563.75</v>
      </c>
      <c r="W149" s="117">
        <f t="shared" si="46"/>
        <v>8641127.5</v>
      </c>
      <c r="X149" s="117">
        <f t="shared" ref="X149:AD149" si="47">SUM(X129:X148)</f>
        <v>8669274</v>
      </c>
      <c r="Y149" s="117">
        <f t="shared" si="47"/>
        <v>7523656</v>
      </c>
      <c r="Z149" s="117">
        <f t="shared" si="47"/>
        <v>9028387.1999999993</v>
      </c>
      <c r="AA149" s="117">
        <f t="shared" si="47"/>
        <v>7892000</v>
      </c>
      <c r="AB149" s="117">
        <f t="shared" si="47"/>
        <v>9554348</v>
      </c>
      <c r="AC149" s="117">
        <f t="shared" si="47"/>
        <v>9182000.4000000004</v>
      </c>
      <c r="AD149" s="117">
        <f t="shared" si="47"/>
        <v>9182000.4000000004</v>
      </c>
      <c r="AE149" s="117">
        <f>SUM(AE129:AE148)</f>
        <v>7718000</v>
      </c>
      <c r="AF149" s="117">
        <f>SUM(AF129:AF148)</f>
        <v>9127000</v>
      </c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  <c r="FS149" s="14"/>
      <c r="FT149" s="14"/>
      <c r="FU149" s="14"/>
      <c r="FV149" s="14"/>
      <c r="FW149" s="14"/>
      <c r="FX149" s="14"/>
      <c r="FY149" s="14"/>
      <c r="FZ149" s="14"/>
      <c r="GA149" s="14"/>
      <c r="GB149" s="14"/>
      <c r="GC149" s="14"/>
      <c r="GD149" s="14"/>
      <c r="GE149" s="14"/>
      <c r="GF149" s="14"/>
      <c r="GG149" s="14"/>
      <c r="GH149" s="14"/>
      <c r="GI149" s="14"/>
      <c r="GJ149" s="14"/>
      <c r="GK149" s="14"/>
      <c r="GL149" s="14"/>
      <c r="GM149" s="14"/>
      <c r="GN149" s="14"/>
      <c r="GO149" s="14"/>
      <c r="GP149" s="14"/>
      <c r="GQ149" s="14"/>
      <c r="GR149" s="14"/>
      <c r="GS149" s="14"/>
      <c r="GT149" s="14"/>
      <c r="GU149" s="14"/>
      <c r="GV149" s="14"/>
      <c r="GW149" s="14"/>
      <c r="GX149" s="14"/>
      <c r="GY149" s="14"/>
      <c r="GZ149" s="14"/>
      <c r="HA149" s="14"/>
      <c r="HB149" s="14"/>
      <c r="HC149" s="14"/>
      <c r="HD149" s="14"/>
      <c r="HE149" s="14"/>
      <c r="HF149" s="14"/>
      <c r="HG149" s="14"/>
      <c r="HH149" s="14"/>
      <c r="HI149" s="14"/>
      <c r="HJ149" s="14"/>
      <c r="HK149" s="14"/>
      <c r="HL149" s="14"/>
      <c r="HM149" s="14"/>
      <c r="HN149" s="14"/>
      <c r="HO149" s="14"/>
      <c r="HP149" s="14"/>
      <c r="HQ149" s="14"/>
      <c r="HR149" s="14"/>
      <c r="HS149" s="14"/>
      <c r="HT149" s="14"/>
      <c r="HU149" s="14"/>
      <c r="HV149" s="14"/>
      <c r="HW149" s="14"/>
      <c r="HX149" s="14"/>
      <c r="HY149" s="14"/>
      <c r="HZ149" s="14"/>
      <c r="IA149" s="14"/>
      <c r="IB149" s="14"/>
      <c r="IC149" s="14"/>
      <c r="ID149" s="14"/>
      <c r="IE149" s="14"/>
      <c r="IF149" s="14"/>
      <c r="IG149" s="14"/>
      <c r="IH149" s="14"/>
      <c r="II149" s="14"/>
      <c r="IJ149" s="14"/>
      <c r="IK149" s="14"/>
      <c r="IL149" s="14"/>
      <c r="IM149" s="14"/>
      <c r="IN149" s="14"/>
      <c r="IO149" s="14"/>
      <c r="IP149" s="14"/>
      <c r="IQ149" s="14"/>
      <c r="IR149" s="14"/>
      <c r="IS149" s="14"/>
      <c r="IT149" s="14"/>
      <c r="IU149" s="14"/>
      <c r="IV149" s="14"/>
    </row>
    <row r="150" spans="2:256" ht="30" customHeight="1" x14ac:dyDescent="0.25">
      <c r="B150" s="14"/>
      <c r="C150" s="152"/>
      <c r="D150" s="153"/>
      <c r="E150" s="104"/>
      <c r="F150" s="105"/>
      <c r="G150" s="126"/>
      <c r="H150" s="104"/>
      <c r="I150" s="104">
        <f t="shared" si="41"/>
        <v>1.3333333333333333</v>
      </c>
      <c r="J150" s="166"/>
      <c r="K150" s="161"/>
      <c r="L150" s="161"/>
      <c r="M150" s="107"/>
      <c r="N150" s="108"/>
      <c r="O150" s="109"/>
      <c r="P150" s="109"/>
      <c r="Q150" s="109"/>
      <c r="R150" s="161"/>
      <c r="S150" s="161"/>
      <c r="T150" s="161"/>
      <c r="U150" s="107"/>
      <c r="V150" s="107"/>
      <c r="W150" s="107"/>
      <c r="X150" s="110"/>
      <c r="Y150" s="107"/>
      <c r="Z150" s="107">
        <f t="shared" si="37"/>
        <v>0</v>
      </c>
      <c r="AA150" s="110"/>
      <c r="AB150" s="110"/>
      <c r="AC150" s="110"/>
      <c r="AD150" s="110"/>
      <c r="AE150" s="110"/>
      <c r="AF150" s="110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  <c r="GC150" s="14"/>
      <c r="GD150" s="14"/>
      <c r="GE150" s="14"/>
      <c r="GF150" s="14"/>
      <c r="GG150" s="14"/>
      <c r="GH150" s="14"/>
      <c r="GI150" s="14"/>
      <c r="GJ150" s="14"/>
      <c r="GK150" s="14"/>
      <c r="GL150" s="14"/>
      <c r="GM150" s="14"/>
      <c r="GN150" s="14"/>
      <c r="GO150" s="14"/>
      <c r="GP150" s="14"/>
      <c r="GQ150" s="14"/>
      <c r="GR150" s="14"/>
      <c r="GS150" s="14"/>
      <c r="GT150" s="14"/>
      <c r="GU150" s="14"/>
      <c r="GV150" s="14"/>
      <c r="GW150" s="14"/>
      <c r="GX150" s="14"/>
      <c r="GY150" s="14"/>
      <c r="GZ150" s="14"/>
      <c r="HA150" s="14"/>
      <c r="HB150" s="14"/>
      <c r="HC150" s="14"/>
      <c r="HD150" s="14"/>
      <c r="HE150" s="14"/>
      <c r="HF150" s="14"/>
      <c r="HG150" s="14"/>
      <c r="HH150" s="14"/>
      <c r="HI150" s="14"/>
      <c r="HJ150" s="14"/>
      <c r="HK150" s="14"/>
      <c r="HL150" s="14"/>
      <c r="HM150" s="14"/>
      <c r="HN150" s="14"/>
      <c r="HO150" s="14"/>
      <c r="HP150" s="14"/>
      <c r="HQ150" s="14"/>
      <c r="HR150" s="14"/>
      <c r="HS150" s="14"/>
      <c r="HT150" s="14"/>
      <c r="HU150" s="14"/>
      <c r="HV150" s="14"/>
      <c r="HW150" s="14"/>
      <c r="HX150" s="14"/>
      <c r="HY150" s="14"/>
      <c r="HZ150" s="14"/>
      <c r="IA150" s="14"/>
      <c r="IB150" s="14"/>
      <c r="IC150" s="14"/>
      <c r="ID150" s="14"/>
      <c r="IE150" s="14"/>
      <c r="IF150" s="14"/>
      <c r="IG150" s="14"/>
      <c r="IH150" s="14"/>
      <c r="II150" s="14"/>
      <c r="IJ150" s="14"/>
      <c r="IK150" s="14"/>
      <c r="IL150" s="14"/>
      <c r="IM150" s="14"/>
      <c r="IN150" s="14"/>
      <c r="IO150" s="14"/>
      <c r="IP150" s="14"/>
      <c r="IQ150" s="14"/>
      <c r="IR150" s="14"/>
      <c r="IS150" s="14"/>
      <c r="IT150" s="14"/>
      <c r="IU150" s="14"/>
      <c r="IV150" s="14"/>
    </row>
    <row r="151" spans="2:256" ht="30" customHeight="1" x14ac:dyDescent="0.25">
      <c r="B151" s="14"/>
      <c r="C151" s="163" t="s">
        <v>338</v>
      </c>
      <c r="D151" s="156"/>
      <c r="E151" s="165" t="e">
        <f>E149+E127+E96+E89+E58</f>
        <v>#REF!</v>
      </c>
      <c r="F151" s="165" t="e">
        <f>F149+F127+F96+F89+F58</f>
        <v>#REF!</v>
      </c>
      <c r="G151" s="165" t="e">
        <f>G149+G127+G96+G89+G58</f>
        <v>#REF!</v>
      </c>
      <c r="H151" s="165" t="e">
        <f>H149+H127+H96+H89+H58</f>
        <v>#REF!</v>
      </c>
      <c r="I151" s="104">
        <f t="shared" si="41"/>
        <v>1.3333333333333333</v>
      </c>
      <c r="J151" s="166"/>
      <c r="K151" s="117" t="e">
        <f t="shared" ref="K151:AF151" si="48">K149+K127+K96+K89+K58</f>
        <v>#REF!</v>
      </c>
      <c r="L151" s="117" t="e">
        <f t="shared" si="48"/>
        <v>#REF!</v>
      </c>
      <c r="M151" s="117" t="e">
        <f t="shared" si="48"/>
        <v>#REF!</v>
      </c>
      <c r="N151" s="117" t="e">
        <f t="shared" si="48"/>
        <v>#REF!</v>
      </c>
      <c r="O151" s="118" t="e">
        <f t="shared" si="48"/>
        <v>#REF!</v>
      </c>
      <c r="P151" s="118" t="e">
        <f t="shared" si="48"/>
        <v>#REF!</v>
      </c>
      <c r="Q151" s="118" t="e">
        <f t="shared" si="48"/>
        <v>#REF!</v>
      </c>
      <c r="R151" s="117">
        <f t="shared" si="48"/>
        <v>26670000</v>
      </c>
      <c r="S151" s="117">
        <f t="shared" si="48"/>
        <v>34562800</v>
      </c>
      <c r="T151" s="117">
        <f t="shared" si="48"/>
        <v>36405744.571428575</v>
      </c>
      <c r="U151" s="117">
        <f t="shared" si="48"/>
        <v>62373022</v>
      </c>
      <c r="V151" s="117">
        <f t="shared" si="48"/>
        <v>33022421.049999993</v>
      </c>
      <c r="W151" s="117">
        <f t="shared" si="48"/>
        <v>67176286.099999994</v>
      </c>
      <c r="X151" s="117">
        <f t="shared" si="48"/>
        <v>67531191.25999999</v>
      </c>
      <c r="Y151" s="117">
        <f t="shared" si="48"/>
        <v>52058511</v>
      </c>
      <c r="Z151" s="117">
        <f t="shared" si="48"/>
        <v>62470213.200000003</v>
      </c>
      <c r="AA151" s="117">
        <f t="shared" si="48"/>
        <v>64670522</v>
      </c>
      <c r="AB151" s="117">
        <f t="shared" si="48"/>
        <v>60558980</v>
      </c>
      <c r="AC151" s="117">
        <f t="shared" si="48"/>
        <v>71468900.400000006</v>
      </c>
      <c r="AD151" s="117">
        <f t="shared" si="48"/>
        <v>71468900.400000006</v>
      </c>
      <c r="AE151" s="117">
        <f t="shared" si="48"/>
        <v>74238000</v>
      </c>
      <c r="AF151" s="117">
        <f t="shared" si="48"/>
        <v>84483000</v>
      </c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4"/>
      <c r="GE151" s="14"/>
      <c r="GF151" s="14"/>
      <c r="GG151" s="14"/>
      <c r="GH151" s="14"/>
      <c r="GI151" s="14"/>
      <c r="GJ151" s="14"/>
      <c r="GK151" s="14"/>
      <c r="GL151" s="14"/>
      <c r="GM151" s="14"/>
      <c r="GN151" s="14"/>
      <c r="GO151" s="14"/>
      <c r="GP151" s="14"/>
      <c r="GQ151" s="14"/>
      <c r="GR151" s="14"/>
      <c r="GS151" s="14"/>
      <c r="GT151" s="14"/>
      <c r="GU151" s="14"/>
      <c r="GV151" s="14"/>
      <c r="GW151" s="14"/>
      <c r="GX151" s="14"/>
      <c r="GY151" s="14"/>
      <c r="GZ151" s="14"/>
      <c r="HA151" s="14"/>
      <c r="HB151" s="14"/>
      <c r="HC151" s="14"/>
      <c r="HD151" s="14"/>
      <c r="HE151" s="14"/>
      <c r="HF151" s="14"/>
      <c r="HG151" s="14"/>
      <c r="HH151" s="14"/>
      <c r="HI151" s="14"/>
      <c r="HJ151" s="14"/>
      <c r="HK151" s="14"/>
      <c r="HL151" s="14"/>
      <c r="HM151" s="14"/>
      <c r="HN151" s="14"/>
      <c r="HO151" s="14"/>
      <c r="HP151" s="14"/>
      <c r="HQ151" s="14"/>
      <c r="HR151" s="14"/>
      <c r="HS151" s="14"/>
      <c r="HT151" s="14"/>
      <c r="HU151" s="14"/>
      <c r="HV151" s="14"/>
      <c r="HW151" s="14"/>
      <c r="HX151" s="14"/>
      <c r="HY151" s="14"/>
      <c r="HZ151" s="14"/>
      <c r="IA151" s="14"/>
      <c r="IB151" s="14"/>
      <c r="IC151" s="14"/>
      <c r="ID151" s="14"/>
      <c r="IE151" s="14"/>
      <c r="IF151" s="14"/>
      <c r="IG151" s="14"/>
      <c r="IH151" s="14"/>
      <c r="II151" s="14"/>
      <c r="IJ151" s="14"/>
      <c r="IK151" s="14"/>
      <c r="IL151" s="14"/>
      <c r="IM151" s="14"/>
      <c r="IN151" s="14"/>
      <c r="IO151" s="14"/>
      <c r="IP151" s="14"/>
      <c r="IQ151" s="14"/>
      <c r="IR151" s="14"/>
      <c r="IS151" s="14"/>
      <c r="IT151" s="14"/>
      <c r="IU151" s="14"/>
      <c r="IV151" s="14"/>
    </row>
    <row r="152" spans="2:256" ht="30" customHeight="1" x14ac:dyDescent="0.25">
      <c r="B152" s="14"/>
      <c r="C152" s="152"/>
      <c r="D152" s="153"/>
      <c r="E152" s="104"/>
      <c r="F152" s="105"/>
      <c r="G152" s="126"/>
      <c r="H152" s="104"/>
      <c r="I152" s="104">
        <f t="shared" si="41"/>
        <v>1.3333333333333333</v>
      </c>
      <c r="J152" s="166"/>
      <c r="K152" s="161"/>
      <c r="L152" s="161"/>
      <c r="M152" s="107"/>
      <c r="N152" s="108"/>
      <c r="O152" s="109"/>
      <c r="P152" s="109"/>
      <c r="Q152" s="109"/>
      <c r="R152" s="161"/>
      <c r="S152" s="161"/>
      <c r="T152" s="161"/>
      <c r="U152" s="107"/>
      <c r="V152" s="107"/>
      <c r="W152" s="107"/>
      <c r="X152" s="110"/>
      <c r="Y152" s="107"/>
      <c r="Z152" s="107">
        <f t="shared" si="37"/>
        <v>0</v>
      </c>
      <c r="AA152" s="110"/>
      <c r="AB152" s="110"/>
      <c r="AC152" s="110"/>
      <c r="AD152" s="110"/>
      <c r="AE152" s="161"/>
      <c r="AF152" s="161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4"/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  <c r="GO152" s="14"/>
      <c r="GP152" s="14"/>
      <c r="GQ152" s="14"/>
      <c r="GR152" s="14"/>
      <c r="GS152" s="14"/>
      <c r="GT152" s="14"/>
      <c r="GU152" s="14"/>
      <c r="GV152" s="14"/>
      <c r="GW152" s="14"/>
      <c r="GX152" s="14"/>
      <c r="GY152" s="14"/>
      <c r="GZ152" s="14"/>
      <c r="HA152" s="14"/>
      <c r="HB152" s="14"/>
      <c r="HC152" s="14"/>
      <c r="HD152" s="14"/>
      <c r="HE152" s="14"/>
      <c r="HF152" s="14"/>
      <c r="HG152" s="14"/>
      <c r="HH152" s="14"/>
      <c r="HI152" s="14"/>
      <c r="HJ152" s="14"/>
      <c r="HK152" s="14"/>
      <c r="HL152" s="14"/>
      <c r="HM152" s="14"/>
      <c r="HN152" s="14"/>
      <c r="HO152" s="14"/>
      <c r="HP152" s="14"/>
      <c r="HQ152" s="14"/>
      <c r="HR152" s="14"/>
      <c r="HS152" s="14"/>
      <c r="HT152" s="14"/>
      <c r="HU152" s="14"/>
      <c r="HV152" s="14"/>
      <c r="HW152" s="14"/>
      <c r="HX152" s="14"/>
      <c r="HY152" s="14"/>
      <c r="HZ152" s="14"/>
      <c r="IA152" s="14"/>
      <c r="IB152" s="14"/>
      <c r="IC152" s="14"/>
      <c r="ID152" s="14"/>
      <c r="IE152" s="14"/>
      <c r="IF152" s="14"/>
      <c r="IG152" s="14"/>
      <c r="IH152" s="14"/>
      <c r="II152" s="14"/>
      <c r="IJ152" s="14"/>
      <c r="IK152" s="14"/>
      <c r="IL152" s="14"/>
      <c r="IM152" s="14"/>
      <c r="IN152" s="14"/>
      <c r="IO152" s="14"/>
      <c r="IP152" s="14"/>
      <c r="IQ152" s="14"/>
      <c r="IR152" s="14"/>
      <c r="IS152" s="14"/>
      <c r="IT152" s="14"/>
      <c r="IU152" s="14"/>
      <c r="IV152" s="14"/>
    </row>
    <row r="153" spans="2:256" ht="30" customHeight="1" x14ac:dyDescent="0.25">
      <c r="B153" s="14">
        <v>139676</v>
      </c>
      <c r="C153" s="102">
        <v>328200.92</v>
      </c>
      <c r="D153" s="167" t="s">
        <v>307</v>
      </c>
      <c r="E153" s="146">
        <v>200000</v>
      </c>
      <c r="F153" s="105"/>
      <c r="G153" s="105">
        <v>215109</v>
      </c>
      <c r="H153" s="146">
        <v>210000</v>
      </c>
      <c r="I153" s="146">
        <f t="shared" si="41"/>
        <v>1.3333333333333333</v>
      </c>
      <c r="J153" s="158"/>
      <c r="K153" s="148">
        <v>215000</v>
      </c>
      <c r="L153" s="162">
        <v>161871</v>
      </c>
      <c r="M153" s="148">
        <v>169285</v>
      </c>
      <c r="N153" s="109"/>
      <c r="O153" s="109">
        <f>M153*4/3</f>
        <v>225713.33333333334</v>
      </c>
      <c r="P153" s="109">
        <v>139000</v>
      </c>
      <c r="Q153" s="109">
        <f>P153/7*6</f>
        <v>119142.85714285716</v>
      </c>
      <c r="R153" s="148">
        <v>224000</v>
      </c>
      <c r="S153" s="148">
        <v>224000</v>
      </c>
      <c r="T153" s="148">
        <f>Q153+P153</f>
        <v>258142.85714285716</v>
      </c>
      <c r="U153" s="148">
        <f>S153</f>
        <v>224000</v>
      </c>
      <c r="V153" s="148">
        <v>84192</v>
      </c>
      <c r="W153" s="148">
        <f>V153*2</f>
        <v>168384</v>
      </c>
      <c r="X153" s="149">
        <f>U153</f>
        <v>224000</v>
      </c>
      <c r="Y153" s="148">
        <v>337500</v>
      </c>
      <c r="Z153" s="148">
        <f t="shared" si="37"/>
        <v>405000</v>
      </c>
      <c r="AA153" s="149">
        <v>400000</v>
      </c>
      <c r="AB153" s="110"/>
      <c r="AC153" s="110">
        <v>400000</v>
      </c>
      <c r="AD153" s="108">
        <f>AC153</f>
        <v>400000</v>
      </c>
      <c r="AE153" s="108"/>
      <c r="AF153" s="108">
        <v>200000</v>
      </c>
      <c r="AG153" s="14" t="s">
        <v>703</v>
      </c>
      <c r="AH153" s="14">
        <v>2</v>
      </c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  <c r="GC153" s="14"/>
      <c r="GD153" s="14"/>
      <c r="GE153" s="14"/>
      <c r="GF153" s="14"/>
      <c r="GG153" s="14"/>
      <c r="GH153" s="14"/>
      <c r="GI153" s="14"/>
      <c r="GJ153" s="14"/>
      <c r="GK153" s="14"/>
      <c r="GL153" s="14"/>
      <c r="GM153" s="14"/>
      <c r="GN153" s="14"/>
      <c r="GO153" s="14"/>
      <c r="GP153" s="14"/>
      <c r="GQ153" s="14"/>
      <c r="GR153" s="14"/>
      <c r="GS153" s="14"/>
      <c r="GT153" s="14"/>
      <c r="GU153" s="14"/>
      <c r="GV153" s="14"/>
      <c r="GW153" s="14"/>
      <c r="GX153" s="14"/>
      <c r="GY153" s="14"/>
      <c r="GZ153" s="14"/>
      <c r="HA153" s="14"/>
      <c r="HB153" s="14"/>
      <c r="HC153" s="14"/>
      <c r="HD153" s="14"/>
      <c r="HE153" s="14"/>
      <c r="HF153" s="14"/>
      <c r="HG153" s="14"/>
      <c r="HH153" s="14"/>
      <c r="HI153" s="14"/>
      <c r="HJ153" s="14"/>
      <c r="HK153" s="14"/>
      <c r="HL153" s="14"/>
      <c r="HM153" s="14"/>
      <c r="HN153" s="14"/>
      <c r="HO153" s="14"/>
      <c r="HP153" s="14"/>
      <c r="HQ153" s="14"/>
      <c r="HR153" s="14"/>
      <c r="HS153" s="14"/>
      <c r="HT153" s="14"/>
      <c r="HU153" s="14"/>
      <c r="HV153" s="14"/>
      <c r="HW153" s="14"/>
      <c r="HX153" s="14"/>
      <c r="HY153" s="14"/>
      <c r="HZ153" s="14"/>
      <c r="IA153" s="14"/>
      <c r="IB153" s="14"/>
      <c r="IC153" s="14"/>
      <c r="ID153" s="14"/>
      <c r="IE153" s="14"/>
      <c r="IF153" s="14"/>
      <c r="IG153" s="14"/>
      <c r="IH153" s="14"/>
      <c r="II153" s="14"/>
      <c r="IJ153" s="14"/>
      <c r="IK153" s="14"/>
      <c r="IL153" s="14"/>
      <c r="IM153" s="14"/>
      <c r="IN153" s="14"/>
      <c r="IO153" s="14"/>
      <c r="IP153" s="14"/>
      <c r="IQ153" s="14"/>
      <c r="IR153" s="14"/>
      <c r="IS153" s="14"/>
      <c r="IT153" s="14"/>
      <c r="IU153" s="14"/>
      <c r="IV153" s="14"/>
    </row>
    <row r="154" spans="2:256" ht="30" customHeight="1" x14ac:dyDescent="0.25">
      <c r="B154" s="14"/>
      <c r="C154" s="102">
        <v>328300.92</v>
      </c>
      <c r="D154" s="153" t="s">
        <v>616</v>
      </c>
      <c r="E154" s="104"/>
      <c r="F154" s="105"/>
      <c r="G154" s="126"/>
      <c r="H154" s="104"/>
      <c r="I154" s="104"/>
      <c r="J154" s="154"/>
      <c r="K154" s="107"/>
      <c r="L154" s="161"/>
      <c r="M154" s="107"/>
      <c r="N154" s="108"/>
      <c r="O154" s="109"/>
      <c r="P154" s="109"/>
      <c r="Q154" s="109"/>
      <c r="R154" s="107"/>
      <c r="S154" s="107"/>
      <c r="T154" s="107"/>
      <c r="U154" s="107"/>
      <c r="V154" s="107"/>
      <c r="W154" s="107"/>
      <c r="X154" s="110"/>
      <c r="Y154" s="107"/>
      <c r="Z154" s="107">
        <f t="shared" si="37"/>
        <v>0</v>
      </c>
      <c r="AA154" s="110">
        <v>592000</v>
      </c>
      <c r="AB154" s="110">
        <v>64210</v>
      </c>
      <c r="AC154" s="110">
        <f>64000+240000</f>
        <v>304000</v>
      </c>
      <c r="AD154" s="108">
        <f>AC154</f>
        <v>304000</v>
      </c>
      <c r="AE154" s="107">
        <v>304000</v>
      </c>
      <c r="AF154" s="107">
        <v>304000</v>
      </c>
      <c r="AG154" s="14" t="s">
        <v>699</v>
      </c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  <c r="GC154" s="14"/>
      <c r="GD154" s="14"/>
      <c r="GE154" s="14"/>
      <c r="GF154" s="14"/>
      <c r="GG154" s="14"/>
      <c r="GH154" s="14"/>
      <c r="GI154" s="14"/>
      <c r="GJ154" s="14"/>
      <c r="GK154" s="14"/>
      <c r="GL154" s="14"/>
      <c r="GM154" s="14"/>
      <c r="GN154" s="14"/>
      <c r="GO154" s="14"/>
      <c r="GP154" s="14"/>
      <c r="GQ154" s="14"/>
      <c r="GR154" s="14"/>
      <c r="GS154" s="14"/>
      <c r="GT154" s="14"/>
      <c r="GU154" s="14"/>
      <c r="GV154" s="14"/>
      <c r="GW154" s="14"/>
      <c r="GX154" s="14"/>
      <c r="GY154" s="14"/>
      <c r="GZ154" s="14"/>
      <c r="HA154" s="14"/>
      <c r="HB154" s="14"/>
      <c r="HC154" s="14"/>
      <c r="HD154" s="14"/>
      <c r="HE154" s="14"/>
      <c r="HF154" s="14"/>
      <c r="HG154" s="14"/>
      <c r="HH154" s="14"/>
      <c r="HI154" s="14"/>
      <c r="HJ154" s="14"/>
      <c r="HK154" s="14"/>
      <c r="HL154" s="14"/>
      <c r="HM154" s="14"/>
      <c r="HN154" s="14"/>
      <c r="HO154" s="14"/>
      <c r="HP154" s="14"/>
      <c r="HQ154" s="14"/>
      <c r="HR154" s="14"/>
      <c r="HS154" s="14"/>
      <c r="HT154" s="14"/>
      <c r="HU154" s="14"/>
      <c r="HV154" s="14"/>
      <c r="HW154" s="14"/>
      <c r="HX154" s="14"/>
      <c r="HY154" s="14"/>
      <c r="HZ154" s="14"/>
      <c r="IA154" s="14"/>
      <c r="IB154" s="14"/>
      <c r="IC154" s="14"/>
      <c r="ID154" s="14"/>
      <c r="IE154" s="14"/>
      <c r="IF154" s="14"/>
      <c r="IG154" s="14"/>
      <c r="IH154" s="14"/>
      <c r="II154" s="14"/>
      <c r="IJ154" s="14"/>
      <c r="IK154" s="14"/>
      <c r="IL154" s="14"/>
      <c r="IM154" s="14"/>
      <c r="IN154" s="14"/>
      <c r="IO154" s="14"/>
      <c r="IP154" s="14"/>
      <c r="IQ154" s="14"/>
      <c r="IR154" s="14"/>
      <c r="IS154" s="14"/>
      <c r="IT154" s="14"/>
      <c r="IU154" s="14"/>
      <c r="IV154" s="14"/>
    </row>
    <row r="155" spans="2:256" ht="30" customHeight="1" x14ac:dyDescent="0.25">
      <c r="B155" s="14">
        <v>34120</v>
      </c>
      <c r="C155" s="143">
        <v>329300.28999999998</v>
      </c>
      <c r="D155" s="153" t="s">
        <v>598</v>
      </c>
      <c r="E155" s="104">
        <v>45000</v>
      </c>
      <c r="F155" s="105"/>
      <c r="G155" s="126">
        <v>53760</v>
      </c>
      <c r="H155" s="104">
        <v>60000</v>
      </c>
      <c r="I155" s="104">
        <f t="shared" si="41"/>
        <v>1.3333333333333333</v>
      </c>
      <c r="J155" s="154"/>
      <c r="K155" s="107">
        <v>170000</v>
      </c>
      <c r="L155" s="161">
        <v>13580</v>
      </c>
      <c r="M155" s="107">
        <v>29035</v>
      </c>
      <c r="N155" s="108"/>
      <c r="O155" s="109">
        <f>M155*4/3</f>
        <v>38713.333333333336</v>
      </c>
      <c r="P155" s="109">
        <v>74000</v>
      </c>
      <c r="Q155" s="109">
        <f>P155/8*4</f>
        <v>37000</v>
      </c>
      <c r="R155" s="107">
        <v>170000</v>
      </c>
      <c r="S155" s="107">
        <v>130000</v>
      </c>
      <c r="T155" s="107">
        <f>Q155+P155</f>
        <v>111000</v>
      </c>
      <c r="U155" s="107">
        <f>S155</f>
        <v>130000</v>
      </c>
      <c r="V155" s="107">
        <v>99667</v>
      </c>
      <c r="W155" s="107">
        <f>V155*2</f>
        <v>199334</v>
      </c>
      <c r="X155" s="110">
        <v>200000</v>
      </c>
      <c r="Y155" s="107">
        <v>140517</v>
      </c>
      <c r="Z155" s="107">
        <f t="shared" si="37"/>
        <v>168620.4</v>
      </c>
      <c r="AA155" s="110">
        <v>100000</v>
      </c>
      <c r="AB155" s="110">
        <v>97300</v>
      </c>
      <c r="AC155" s="110">
        <f>116500</f>
        <v>116500</v>
      </c>
      <c r="AD155" s="108">
        <f>AC155</f>
        <v>116500</v>
      </c>
      <c r="AE155" s="107">
        <v>150000</v>
      </c>
      <c r="AF155" s="107">
        <v>150000</v>
      </c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  <c r="GC155" s="14"/>
      <c r="GD155" s="14"/>
      <c r="GE155" s="14"/>
      <c r="GF155" s="14"/>
      <c r="GG155" s="14"/>
      <c r="GH155" s="14"/>
      <c r="GI155" s="14"/>
      <c r="GJ155" s="14"/>
      <c r="GK155" s="14"/>
      <c r="GL155" s="14"/>
      <c r="GM155" s="14"/>
      <c r="GN155" s="14"/>
      <c r="GO155" s="14"/>
      <c r="GP155" s="14"/>
      <c r="GQ155" s="14"/>
      <c r="GR155" s="14"/>
      <c r="GS155" s="14"/>
      <c r="GT155" s="14"/>
      <c r="GU155" s="14"/>
      <c r="GV155" s="14"/>
      <c r="GW155" s="14"/>
      <c r="GX155" s="14"/>
      <c r="GY155" s="14"/>
      <c r="GZ155" s="14"/>
      <c r="HA155" s="14"/>
      <c r="HB155" s="14"/>
      <c r="HC155" s="14"/>
      <c r="HD155" s="14"/>
      <c r="HE155" s="14"/>
      <c r="HF155" s="14"/>
      <c r="HG155" s="14"/>
      <c r="HH155" s="14"/>
      <c r="HI155" s="14"/>
      <c r="HJ155" s="14"/>
      <c r="HK155" s="14"/>
      <c r="HL155" s="14"/>
      <c r="HM155" s="14"/>
      <c r="HN155" s="14"/>
      <c r="HO155" s="14"/>
      <c r="HP155" s="14"/>
      <c r="HQ155" s="14"/>
      <c r="HR155" s="14"/>
      <c r="HS155" s="14"/>
      <c r="HT155" s="14"/>
      <c r="HU155" s="14"/>
      <c r="HV155" s="14"/>
      <c r="HW155" s="14"/>
      <c r="HX155" s="14"/>
      <c r="HY155" s="14"/>
      <c r="HZ155" s="14"/>
      <c r="IA155" s="14"/>
      <c r="IB155" s="14"/>
      <c r="IC155" s="14"/>
      <c r="ID155" s="14"/>
      <c r="IE155" s="14"/>
      <c r="IF155" s="14"/>
      <c r="IG155" s="14"/>
      <c r="IH155" s="14"/>
      <c r="II155" s="14"/>
      <c r="IJ155" s="14"/>
      <c r="IK155" s="14"/>
      <c r="IL155" s="14"/>
      <c r="IM155" s="14"/>
      <c r="IN155" s="14"/>
      <c r="IO155" s="14"/>
      <c r="IP155" s="14"/>
      <c r="IQ155" s="14"/>
      <c r="IR155" s="14"/>
      <c r="IS155" s="14"/>
      <c r="IT155" s="14"/>
      <c r="IU155" s="14"/>
      <c r="IV155" s="14"/>
    </row>
    <row r="156" spans="2:256" ht="30" customHeight="1" x14ac:dyDescent="0.25">
      <c r="B156" s="14"/>
      <c r="C156" s="143">
        <v>329300.92</v>
      </c>
      <c r="D156" s="153" t="s">
        <v>608</v>
      </c>
      <c r="E156" s="104"/>
      <c r="F156" s="105"/>
      <c r="G156" s="126"/>
      <c r="H156" s="104"/>
      <c r="I156" s="104"/>
      <c r="J156" s="154"/>
      <c r="K156" s="107"/>
      <c r="L156" s="161"/>
      <c r="M156" s="107"/>
      <c r="N156" s="108"/>
      <c r="O156" s="109"/>
      <c r="P156" s="109"/>
      <c r="Q156" s="109"/>
      <c r="R156" s="107"/>
      <c r="S156" s="107"/>
      <c r="T156" s="107"/>
      <c r="U156" s="107"/>
      <c r="V156" s="107"/>
      <c r="W156" s="107"/>
      <c r="X156" s="110"/>
      <c r="Y156" s="107">
        <v>134956</v>
      </c>
      <c r="Z156" s="107">
        <f t="shared" si="37"/>
        <v>161947.20000000001</v>
      </c>
      <c r="AA156" s="110">
        <v>285000</v>
      </c>
      <c r="AB156" s="110">
        <v>95030</v>
      </c>
      <c r="AC156" s="110">
        <f>94000+32000+150000</f>
        <v>276000</v>
      </c>
      <c r="AD156" s="108">
        <f>AC156</f>
        <v>276000</v>
      </c>
      <c r="AE156" s="107">
        <v>150000</v>
      </c>
      <c r="AF156" s="107">
        <v>150000</v>
      </c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  <c r="FZ156" s="14"/>
      <c r="GA156" s="14"/>
      <c r="GB156" s="14"/>
      <c r="GC156" s="14"/>
      <c r="GD156" s="14"/>
      <c r="GE156" s="14"/>
      <c r="GF156" s="14"/>
      <c r="GG156" s="14"/>
      <c r="GH156" s="14"/>
      <c r="GI156" s="14"/>
      <c r="GJ156" s="14"/>
      <c r="GK156" s="14"/>
      <c r="GL156" s="14"/>
      <c r="GM156" s="14"/>
      <c r="GN156" s="14"/>
      <c r="GO156" s="14"/>
      <c r="GP156" s="14"/>
      <c r="GQ156" s="14"/>
      <c r="GR156" s="14"/>
      <c r="GS156" s="14"/>
      <c r="GT156" s="14"/>
      <c r="GU156" s="14"/>
      <c r="GV156" s="14"/>
      <c r="GW156" s="14"/>
      <c r="GX156" s="14"/>
      <c r="GY156" s="14"/>
      <c r="GZ156" s="14"/>
      <c r="HA156" s="14"/>
      <c r="HB156" s="14"/>
      <c r="HC156" s="14"/>
      <c r="HD156" s="14"/>
      <c r="HE156" s="14"/>
      <c r="HF156" s="14"/>
      <c r="HG156" s="14"/>
      <c r="HH156" s="14"/>
      <c r="HI156" s="14"/>
      <c r="HJ156" s="14"/>
      <c r="HK156" s="14"/>
      <c r="HL156" s="14"/>
      <c r="HM156" s="14"/>
      <c r="HN156" s="14"/>
      <c r="HO156" s="14"/>
      <c r="HP156" s="14"/>
      <c r="HQ156" s="14"/>
      <c r="HR156" s="14"/>
      <c r="HS156" s="14"/>
      <c r="HT156" s="14"/>
      <c r="HU156" s="14"/>
      <c r="HV156" s="14"/>
      <c r="HW156" s="14"/>
      <c r="HX156" s="14"/>
      <c r="HY156" s="14"/>
      <c r="HZ156" s="14"/>
      <c r="IA156" s="14"/>
      <c r="IB156" s="14"/>
      <c r="IC156" s="14"/>
      <c r="ID156" s="14"/>
      <c r="IE156" s="14"/>
      <c r="IF156" s="14"/>
      <c r="IG156" s="14"/>
      <c r="IH156" s="14"/>
      <c r="II156" s="14"/>
      <c r="IJ156" s="14"/>
      <c r="IK156" s="14"/>
      <c r="IL156" s="14"/>
      <c r="IM156" s="14"/>
      <c r="IN156" s="14"/>
      <c r="IO156" s="14"/>
      <c r="IP156" s="14"/>
      <c r="IQ156" s="14"/>
      <c r="IR156" s="14"/>
      <c r="IS156" s="14"/>
      <c r="IT156" s="14"/>
      <c r="IU156" s="14"/>
      <c r="IV156" s="14"/>
    </row>
    <row r="157" spans="2:256" ht="30" customHeight="1" x14ac:dyDescent="0.25">
      <c r="B157" s="14"/>
      <c r="C157" s="113" t="s">
        <v>308</v>
      </c>
      <c r="D157" s="114" t="s">
        <v>278</v>
      </c>
      <c r="E157" s="115">
        <f>SUM(E153:E155)</f>
        <v>245000</v>
      </c>
      <c r="F157" s="115">
        <f>SUM(F153:F155)</f>
        <v>0</v>
      </c>
      <c r="G157" s="115">
        <f>SUM(G153:G155)</f>
        <v>268869</v>
      </c>
      <c r="H157" s="115">
        <f>SUM(H153:H155)</f>
        <v>270000</v>
      </c>
      <c r="I157" s="104">
        <f t="shared" si="41"/>
        <v>1.3333333333333333</v>
      </c>
      <c r="J157" s="168"/>
      <c r="K157" s="117">
        <f t="shared" ref="K157:X157" si="49">SUM(K153:K155)</f>
        <v>385000</v>
      </c>
      <c r="L157" s="117">
        <f t="shared" si="49"/>
        <v>175451</v>
      </c>
      <c r="M157" s="117">
        <f t="shared" si="49"/>
        <v>198320</v>
      </c>
      <c r="N157" s="117">
        <f t="shared" si="49"/>
        <v>0</v>
      </c>
      <c r="O157" s="118">
        <f t="shared" si="49"/>
        <v>264426.66666666669</v>
      </c>
      <c r="P157" s="118">
        <f t="shared" si="49"/>
        <v>213000</v>
      </c>
      <c r="Q157" s="118">
        <f t="shared" si="49"/>
        <v>156142.85714285716</v>
      </c>
      <c r="R157" s="117">
        <f t="shared" si="49"/>
        <v>394000</v>
      </c>
      <c r="S157" s="117">
        <f t="shared" si="49"/>
        <v>354000</v>
      </c>
      <c r="T157" s="117">
        <f t="shared" si="49"/>
        <v>369142.85714285716</v>
      </c>
      <c r="U157" s="117">
        <f t="shared" si="49"/>
        <v>354000</v>
      </c>
      <c r="V157" s="117">
        <f t="shared" si="49"/>
        <v>183859</v>
      </c>
      <c r="W157" s="117">
        <f t="shared" si="49"/>
        <v>367718</v>
      </c>
      <c r="X157" s="117">
        <f t="shared" si="49"/>
        <v>424000</v>
      </c>
      <c r="Y157" s="117">
        <f t="shared" ref="Y157:AF157" si="50">SUM(Y153:Y156)</f>
        <v>612973</v>
      </c>
      <c r="Z157" s="117">
        <f t="shared" si="50"/>
        <v>735567.60000000009</v>
      </c>
      <c r="AA157" s="117">
        <f t="shared" si="50"/>
        <v>1377000</v>
      </c>
      <c r="AB157" s="117">
        <f t="shared" si="50"/>
        <v>256540</v>
      </c>
      <c r="AC157" s="117">
        <f t="shared" si="50"/>
        <v>1096500</v>
      </c>
      <c r="AD157" s="117">
        <f t="shared" si="50"/>
        <v>1096500</v>
      </c>
      <c r="AE157" s="117">
        <f t="shared" si="50"/>
        <v>604000</v>
      </c>
      <c r="AF157" s="117">
        <f t="shared" si="50"/>
        <v>804000</v>
      </c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  <c r="GC157" s="14"/>
      <c r="GD157" s="14"/>
      <c r="GE157" s="14"/>
      <c r="GF157" s="14"/>
      <c r="GG157" s="14"/>
      <c r="GH157" s="14"/>
      <c r="GI157" s="14"/>
      <c r="GJ157" s="14"/>
      <c r="GK157" s="14"/>
      <c r="GL157" s="14"/>
      <c r="GM157" s="14"/>
      <c r="GN157" s="14"/>
      <c r="GO157" s="14"/>
      <c r="GP157" s="14"/>
      <c r="GQ157" s="14"/>
      <c r="GR157" s="14"/>
      <c r="GS157" s="14"/>
      <c r="GT157" s="14"/>
      <c r="GU157" s="14"/>
      <c r="GV157" s="14"/>
      <c r="GW157" s="14"/>
      <c r="GX157" s="14"/>
      <c r="GY157" s="14"/>
      <c r="GZ157" s="14"/>
      <c r="HA157" s="14"/>
      <c r="HB157" s="14"/>
      <c r="HC157" s="14"/>
      <c r="HD157" s="14"/>
      <c r="HE157" s="14"/>
      <c r="HF157" s="14"/>
      <c r="HG157" s="14"/>
      <c r="HH157" s="14"/>
      <c r="HI157" s="14"/>
      <c r="HJ157" s="14"/>
      <c r="HK157" s="14"/>
      <c r="HL157" s="14"/>
      <c r="HM157" s="14"/>
      <c r="HN157" s="14"/>
      <c r="HO157" s="14"/>
      <c r="HP157" s="14"/>
      <c r="HQ157" s="14"/>
      <c r="HR157" s="14"/>
      <c r="HS157" s="14"/>
      <c r="HT157" s="14"/>
      <c r="HU157" s="14"/>
      <c r="HV157" s="14"/>
      <c r="HW157" s="14"/>
      <c r="HX157" s="14"/>
      <c r="HY157" s="14"/>
      <c r="HZ157" s="14"/>
      <c r="IA157" s="14"/>
      <c r="IB157" s="14"/>
      <c r="IC157" s="14"/>
      <c r="ID157" s="14"/>
      <c r="IE157" s="14"/>
      <c r="IF157" s="14"/>
      <c r="IG157" s="14"/>
      <c r="IH157" s="14"/>
      <c r="II157" s="14"/>
      <c r="IJ157" s="14"/>
      <c r="IK157" s="14"/>
      <c r="IL157" s="14"/>
      <c r="IM157" s="14"/>
      <c r="IN157" s="14"/>
      <c r="IO157" s="14"/>
      <c r="IP157" s="14"/>
      <c r="IQ157" s="14"/>
      <c r="IR157" s="14"/>
      <c r="IS157" s="14"/>
      <c r="IT157" s="14"/>
      <c r="IU157" s="14"/>
      <c r="IV157" s="14"/>
    </row>
    <row r="158" spans="2:256" ht="30" customHeight="1" x14ac:dyDescent="0.25">
      <c r="B158" s="14"/>
      <c r="C158" s="102"/>
      <c r="D158" s="103"/>
      <c r="E158" s="169"/>
      <c r="F158" s="105"/>
      <c r="G158" s="126"/>
      <c r="H158" s="169"/>
      <c r="I158" s="104">
        <f t="shared" si="41"/>
        <v>1.3333333333333333</v>
      </c>
      <c r="J158" s="168"/>
      <c r="K158" s="161"/>
      <c r="L158" s="161"/>
      <c r="M158" s="107"/>
      <c r="N158" s="108">
        <f>K158</f>
        <v>0</v>
      </c>
      <c r="O158" s="109"/>
      <c r="P158" s="109"/>
      <c r="Q158" s="109"/>
      <c r="R158" s="161"/>
      <c r="S158" s="161"/>
      <c r="T158" s="161"/>
      <c r="U158" s="107"/>
      <c r="V158" s="107"/>
      <c r="W158" s="107"/>
      <c r="X158" s="110"/>
      <c r="Y158" s="107"/>
      <c r="Z158" s="107">
        <f t="shared" si="37"/>
        <v>0</v>
      </c>
      <c r="AA158" s="110"/>
      <c r="AB158" s="110"/>
      <c r="AC158" s="110"/>
      <c r="AD158" s="110"/>
      <c r="AE158" s="161"/>
      <c r="AF158" s="161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  <c r="FS158" s="14"/>
      <c r="FT158" s="14"/>
      <c r="FU158" s="14"/>
      <c r="FV158" s="14"/>
      <c r="FW158" s="14"/>
      <c r="FX158" s="14"/>
      <c r="FY158" s="14"/>
      <c r="FZ158" s="14"/>
      <c r="GA158" s="14"/>
      <c r="GB158" s="14"/>
      <c r="GC158" s="14"/>
      <c r="GD158" s="14"/>
      <c r="GE158" s="14"/>
      <c r="GF158" s="14"/>
      <c r="GG158" s="14"/>
      <c r="GH158" s="14"/>
      <c r="GI158" s="14"/>
      <c r="GJ158" s="14"/>
      <c r="GK158" s="14"/>
      <c r="GL158" s="14"/>
      <c r="GM158" s="14"/>
      <c r="GN158" s="14"/>
      <c r="GO158" s="14"/>
      <c r="GP158" s="14"/>
      <c r="GQ158" s="14"/>
      <c r="GR158" s="14"/>
      <c r="GS158" s="14"/>
      <c r="GT158" s="14"/>
      <c r="GU158" s="14"/>
      <c r="GV158" s="14"/>
      <c r="GW158" s="14"/>
      <c r="GX158" s="14"/>
      <c r="GY158" s="14"/>
      <c r="GZ158" s="14"/>
      <c r="HA158" s="14"/>
      <c r="HB158" s="14"/>
      <c r="HC158" s="14"/>
      <c r="HD158" s="14"/>
      <c r="HE158" s="14"/>
      <c r="HF158" s="14"/>
      <c r="HG158" s="14"/>
      <c r="HH158" s="14"/>
      <c r="HI158" s="14"/>
      <c r="HJ158" s="14"/>
      <c r="HK158" s="14"/>
      <c r="HL158" s="14"/>
      <c r="HM158" s="14"/>
      <c r="HN158" s="14"/>
      <c r="HO158" s="14"/>
      <c r="HP158" s="14"/>
      <c r="HQ158" s="14"/>
      <c r="HR158" s="14"/>
      <c r="HS158" s="14"/>
      <c r="HT158" s="14"/>
      <c r="HU158" s="14"/>
      <c r="HV158" s="14"/>
      <c r="HW158" s="14"/>
      <c r="HX158" s="14"/>
      <c r="HY158" s="14"/>
      <c r="HZ158" s="14"/>
      <c r="IA158" s="14"/>
      <c r="IB158" s="14"/>
      <c r="IC158" s="14"/>
      <c r="ID158" s="14"/>
      <c r="IE158" s="14"/>
      <c r="IF158" s="14"/>
      <c r="IG158" s="14"/>
      <c r="IH158" s="14"/>
      <c r="II158" s="14"/>
      <c r="IJ158" s="14"/>
      <c r="IK158" s="14"/>
      <c r="IL158" s="14"/>
      <c r="IM158" s="14"/>
      <c r="IN158" s="14"/>
      <c r="IO158" s="14"/>
      <c r="IP158" s="14"/>
      <c r="IQ158" s="14"/>
      <c r="IR158" s="14"/>
      <c r="IS158" s="14"/>
      <c r="IT158" s="14"/>
      <c r="IU158" s="14"/>
      <c r="IV158" s="14"/>
    </row>
    <row r="159" spans="2:256" ht="30" customHeight="1" x14ac:dyDescent="0.25">
      <c r="B159" s="14">
        <v>68000</v>
      </c>
      <c r="C159" s="102">
        <v>330000.99</v>
      </c>
      <c r="D159" s="103" t="s">
        <v>309</v>
      </c>
      <c r="E159" s="105">
        <v>102700</v>
      </c>
      <c r="F159" s="105">
        <v>102700</v>
      </c>
      <c r="G159" s="105">
        <v>168100</v>
      </c>
      <c r="H159" s="105">
        <v>150000</v>
      </c>
      <c r="I159" s="104">
        <f t="shared" si="41"/>
        <v>1.3333333333333333</v>
      </c>
      <c r="J159" s="168"/>
      <c r="K159" s="107">
        <v>205000</v>
      </c>
      <c r="L159" s="161">
        <v>153000</v>
      </c>
      <c r="M159" s="107">
        <v>246200</v>
      </c>
      <c r="N159" s="108"/>
      <c r="O159" s="109">
        <f>M159*4/3</f>
        <v>328266.66666666669</v>
      </c>
      <c r="P159" s="109">
        <v>130000</v>
      </c>
      <c r="Q159" s="109">
        <v>120000</v>
      </c>
      <c r="R159" s="107">
        <v>250000</v>
      </c>
      <c r="S159" s="107">
        <v>250000</v>
      </c>
      <c r="T159" s="107">
        <f>Q159+P159</f>
        <v>250000</v>
      </c>
      <c r="U159" s="107">
        <f>S159</f>
        <v>250000</v>
      </c>
      <c r="V159" s="107">
        <v>91910</v>
      </c>
      <c r="W159" s="107">
        <v>250000</v>
      </c>
      <c r="X159" s="110">
        <f>U159</f>
        <v>250000</v>
      </c>
      <c r="Y159" s="107">
        <v>154075</v>
      </c>
      <c r="Z159" s="107">
        <f t="shared" si="37"/>
        <v>184890</v>
      </c>
      <c r="AA159" s="110">
        <v>140000</v>
      </c>
      <c r="AB159" s="110">
        <v>74603</v>
      </c>
      <c r="AC159" s="110">
        <v>140000</v>
      </c>
      <c r="AD159" s="110">
        <f>AC159</f>
        <v>140000</v>
      </c>
      <c r="AE159" s="159">
        <v>76000</v>
      </c>
      <c r="AF159" s="159">
        <v>76000</v>
      </c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  <c r="GC159" s="14"/>
      <c r="GD159" s="14"/>
      <c r="GE159" s="14"/>
      <c r="GF159" s="14"/>
      <c r="GG159" s="14"/>
      <c r="GH159" s="14"/>
      <c r="GI159" s="14"/>
      <c r="GJ159" s="14"/>
      <c r="GK159" s="14"/>
      <c r="GL159" s="14"/>
      <c r="GM159" s="14"/>
      <c r="GN159" s="14"/>
      <c r="GO159" s="14"/>
      <c r="GP159" s="14"/>
      <c r="GQ159" s="14"/>
      <c r="GR159" s="14"/>
      <c r="GS159" s="14"/>
      <c r="GT159" s="14"/>
      <c r="GU159" s="14"/>
      <c r="GV159" s="14"/>
      <c r="GW159" s="14"/>
      <c r="GX159" s="14"/>
      <c r="GY159" s="14"/>
      <c r="GZ159" s="14"/>
      <c r="HA159" s="14"/>
      <c r="HB159" s="14"/>
      <c r="HC159" s="14"/>
      <c r="HD159" s="14"/>
      <c r="HE159" s="14"/>
      <c r="HF159" s="14"/>
      <c r="HG159" s="14"/>
      <c r="HH159" s="14"/>
      <c r="HI159" s="14"/>
      <c r="HJ159" s="14"/>
      <c r="HK159" s="14"/>
      <c r="HL159" s="14"/>
      <c r="HM159" s="14"/>
      <c r="HN159" s="14"/>
      <c r="HO159" s="14"/>
      <c r="HP159" s="14"/>
      <c r="HQ159" s="14"/>
      <c r="HR159" s="14"/>
      <c r="HS159" s="14"/>
      <c r="HT159" s="14"/>
      <c r="HU159" s="14"/>
      <c r="HV159" s="14"/>
      <c r="HW159" s="14"/>
      <c r="HX159" s="14"/>
      <c r="HY159" s="14"/>
      <c r="HZ159" s="14"/>
      <c r="IA159" s="14"/>
      <c r="IB159" s="14"/>
      <c r="IC159" s="14"/>
      <c r="ID159" s="14"/>
      <c r="IE159" s="14"/>
      <c r="IF159" s="14"/>
      <c r="IG159" s="14"/>
      <c r="IH159" s="14"/>
      <c r="II159" s="14"/>
      <c r="IJ159" s="14"/>
      <c r="IK159" s="14"/>
      <c r="IL159" s="14"/>
      <c r="IM159" s="14"/>
      <c r="IN159" s="14"/>
      <c r="IO159" s="14"/>
      <c r="IP159" s="14"/>
      <c r="IQ159" s="14"/>
      <c r="IR159" s="14"/>
      <c r="IS159" s="14"/>
      <c r="IT159" s="14"/>
      <c r="IU159" s="14"/>
      <c r="IV159" s="14"/>
    </row>
    <row r="160" spans="2:256" ht="30" customHeight="1" x14ac:dyDescent="0.25">
      <c r="B160" s="14"/>
      <c r="C160" s="113" t="s">
        <v>465</v>
      </c>
      <c r="D160" s="114" t="s">
        <v>466</v>
      </c>
      <c r="E160" s="115"/>
      <c r="F160" s="115"/>
      <c r="G160" s="115"/>
      <c r="H160" s="115"/>
      <c r="I160" s="104"/>
      <c r="J160" s="168"/>
      <c r="K160" s="117">
        <f>K159</f>
        <v>205000</v>
      </c>
      <c r="L160" s="117">
        <f t="shared" ref="L160:Q160" si="51">L159</f>
        <v>153000</v>
      </c>
      <c r="M160" s="117">
        <f t="shared" si="51"/>
        <v>246200</v>
      </c>
      <c r="N160" s="117">
        <f t="shared" si="51"/>
        <v>0</v>
      </c>
      <c r="O160" s="118">
        <f t="shared" si="51"/>
        <v>328266.66666666669</v>
      </c>
      <c r="P160" s="118">
        <f t="shared" si="51"/>
        <v>130000</v>
      </c>
      <c r="Q160" s="118">
        <f t="shared" si="51"/>
        <v>120000</v>
      </c>
      <c r="R160" s="117" t="e">
        <f>R159+#REF!</f>
        <v>#REF!</v>
      </c>
      <c r="S160" s="117" t="e">
        <f>S159+#REF!</f>
        <v>#REF!</v>
      </c>
      <c r="T160" s="117" t="e">
        <f>T159+#REF!</f>
        <v>#REF!</v>
      </c>
      <c r="U160" s="117" t="e">
        <f>U159+#REF!</f>
        <v>#REF!</v>
      </c>
      <c r="V160" s="117" t="e">
        <f>V159+#REF!</f>
        <v>#REF!</v>
      </c>
      <c r="W160" s="117" t="e">
        <f>W159+#REF!</f>
        <v>#REF!</v>
      </c>
      <c r="X160" s="117">
        <f t="shared" ref="X160:AF160" si="52">SUM(X159:X159)</f>
        <v>250000</v>
      </c>
      <c r="Y160" s="117">
        <f t="shared" si="52"/>
        <v>154075</v>
      </c>
      <c r="Z160" s="117">
        <f t="shared" si="52"/>
        <v>184890</v>
      </c>
      <c r="AA160" s="117">
        <f t="shared" si="52"/>
        <v>140000</v>
      </c>
      <c r="AB160" s="117">
        <f t="shared" si="52"/>
        <v>74603</v>
      </c>
      <c r="AC160" s="117">
        <f t="shared" si="52"/>
        <v>140000</v>
      </c>
      <c r="AD160" s="117">
        <f t="shared" si="52"/>
        <v>140000</v>
      </c>
      <c r="AE160" s="117">
        <f t="shared" si="52"/>
        <v>76000</v>
      </c>
      <c r="AF160" s="117">
        <f t="shared" si="52"/>
        <v>76000</v>
      </c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  <c r="FS160" s="14"/>
      <c r="FT160" s="14"/>
      <c r="FU160" s="14"/>
      <c r="FV160" s="14"/>
      <c r="FW160" s="14"/>
      <c r="FX160" s="14"/>
      <c r="FY160" s="14"/>
      <c r="FZ160" s="14"/>
      <c r="GA160" s="14"/>
      <c r="GB160" s="14"/>
      <c r="GC160" s="14"/>
      <c r="GD160" s="14"/>
      <c r="GE160" s="14"/>
      <c r="GF160" s="14"/>
      <c r="GG160" s="14"/>
      <c r="GH160" s="14"/>
      <c r="GI160" s="14"/>
      <c r="GJ160" s="14"/>
      <c r="GK160" s="14"/>
      <c r="GL160" s="14"/>
      <c r="GM160" s="14"/>
      <c r="GN160" s="14"/>
      <c r="GO160" s="14"/>
      <c r="GP160" s="14"/>
      <c r="GQ160" s="14"/>
      <c r="GR160" s="14"/>
      <c r="GS160" s="14"/>
      <c r="GT160" s="14"/>
      <c r="GU160" s="14"/>
      <c r="GV160" s="14"/>
      <c r="GW160" s="14"/>
      <c r="GX160" s="14"/>
      <c r="GY160" s="14"/>
      <c r="GZ160" s="14"/>
      <c r="HA160" s="14"/>
      <c r="HB160" s="14"/>
      <c r="HC160" s="14"/>
      <c r="HD160" s="14"/>
      <c r="HE160" s="14"/>
      <c r="HF160" s="14"/>
      <c r="HG160" s="14"/>
      <c r="HH160" s="14"/>
      <c r="HI160" s="14"/>
      <c r="HJ160" s="14"/>
      <c r="HK160" s="14"/>
      <c r="HL160" s="14"/>
      <c r="HM160" s="14"/>
      <c r="HN160" s="14"/>
      <c r="HO160" s="14"/>
      <c r="HP160" s="14"/>
      <c r="HQ160" s="14"/>
      <c r="HR160" s="14"/>
      <c r="HS160" s="14"/>
      <c r="HT160" s="14"/>
      <c r="HU160" s="14"/>
      <c r="HV160" s="14"/>
      <c r="HW160" s="14"/>
      <c r="HX160" s="14"/>
      <c r="HY160" s="14"/>
      <c r="HZ160" s="14"/>
      <c r="IA160" s="14"/>
      <c r="IB160" s="14"/>
      <c r="IC160" s="14"/>
      <c r="ID160" s="14"/>
      <c r="IE160" s="14"/>
      <c r="IF160" s="14"/>
      <c r="IG160" s="14"/>
      <c r="IH160" s="14"/>
      <c r="II160" s="14"/>
      <c r="IJ160" s="14"/>
      <c r="IK160" s="14"/>
      <c r="IL160" s="14"/>
      <c r="IM160" s="14"/>
      <c r="IN160" s="14"/>
      <c r="IO160" s="14"/>
      <c r="IP160" s="14"/>
      <c r="IQ160" s="14"/>
      <c r="IR160" s="14"/>
      <c r="IS160" s="14"/>
      <c r="IT160" s="14"/>
      <c r="IU160" s="14"/>
      <c r="IV160" s="14"/>
    </row>
    <row r="161" spans="2:256" ht="30" customHeight="1" x14ac:dyDescent="0.25">
      <c r="B161" s="14"/>
      <c r="C161" s="102"/>
      <c r="D161" s="103"/>
      <c r="E161" s="169"/>
      <c r="F161" s="105"/>
      <c r="G161" s="126"/>
      <c r="H161" s="169"/>
      <c r="I161" s="104">
        <f t="shared" si="41"/>
        <v>1.3333333333333333</v>
      </c>
      <c r="J161" s="168"/>
      <c r="K161" s="107"/>
      <c r="L161" s="161"/>
      <c r="M161" s="107"/>
      <c r="N161" s="108"/>
      <c r="O161" s="109"/>
      <c r="P161" s="109"/>
      <c r="Q161" s="109"/>
      <c r="R161" s="107"/>
      <c r="S161" s="107"/>
      <c r="T161" s="107"/>
      <c r="U161" s="107"/>
      <c r="V161" s="107"/>
      <c r="W161" s="107"/>
      <c r="X161" s="110"/>
      <c r="Y161" s="107"/>
      <c r="Z161" s="107">
        <f t="shared" si="37"/>
        <v>0</v>
      </c>
      <c r="AA161" s="110"/>
      <c r="AB161" s="110"/>
      <c r="AC161" s="110"/>
      <c r="AD161" s="110"/>
      <c r="AE161" s="161"/>
      <c r="AF161" s="161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  <c r="FU161" s="14"/>
      <c r="FV161" s="14"/>
      <c r="FW161" s="14"/>
      <c r="FX161" s="14"/>
      <c r="FY161" s="14"/>
      <c r="FZ161" s="14"/>
      <c r="GA161" s="14"/>
      <c r="GB161" s="14"/>
      <c r="GC161" s="14"/>
      <c r="GD161" s="14"/>
      <c r="GE161" s="14"/>
      <c r="GF161" s="14"/>
      <c r="GG161" s="14"/>
      <c r="GH161" s="14"/>
      <c r="GI161" s="14"/>
      <c r="GJ161" s="14"/>
      <c r="GK161" s="14"/>
      <c r="GL161" s="14"/>
      <c r="GM161" s="14"/>
      <c r="GN161" s="14"/>
      <c r="GO161" s="14"/>
      <c r="GP161" s="14"/>
      <c r="GQ161" s="14"/>
      <c r="GR161" s="14"/>
      <c r="GS161" s="14"/>
      <c r="GT161" s="14"/>
      <c r="GU161" s="14"/>
      <c r="GV161" s="14"/>
      <c r="GW161" s="14"/>
      <c r="GX161" s="14"/>
      <c r="GY161" s="14"/>
      <c r="GZ161" s="14"/>
      <c r="HA161" s="14"/>
      <c r="HB161" s="14"/>
      <c r="HC161" s="14"/>
      <c r="HD161" s="14"/>
      <c r="HE161" s="14"/>
      <c r="HF161" s="14"/>
      <c r="HG161" s="14"/>
      <c r="HH161" s="14"/>
      <c r="HI161" s="14"/>
      <c r="HJ161" s="14"/>
      <c r="HK161" s="14"/>
      <c r="HL161" s="14"/>
      <c r="HM161" s="14"/>
      <c r="HN161" s="14"/>
      <c r="HO161" s="14"/>
      <c r="HP161" s="14"/>
      <c r="HQ161" s="14"/>
      <c r="HR161" s="14"/>
      <c r="HS161" s="14"/>
      <c r="HT161" s="14"/>
      <c r="HU161" s="14"/>
      <c r="HV161" s="14"/>
      <c r="HW161" s="14"/>
      <c r="HX161" s="14"/>
      <c r="HY161" s="14"/>
      <c r="HZ161" s="14"/>
      <c r="IA161" s="14"/>
      <c r="IB161" s="14"/>
      <c r="IC161" s="14"/>
      <c r="ID161" s="14"/>
      <c r="IE161" s="14"/>
      <c r="IF161" s="14"/>
      <c r="IG161" s="14"/>
      <c r="IH161" s="14"/>
      <c r="II161" s="14"/>
      <c r="IJ161" s="14"/>
      <c r="IK161" s="14"/>
      <c r="IL161" s="14"/>
      <c r="IM161" s="14"/>
      <c r="IN161" s="14"/>
      <c r="IO161" s="14"/>
      <c r="IP161" s="14"/>
      <c r="IQ161" s="14"/>
      <c r="IR161" s="14"/>
      <c r="IS161" s="14"/>
      <c r="IT161" s="14"/>
      <c r="IU161" s="14"/>
      <c r="IV161" s="14"/>
    </row>
    <row r="162" spans="2:256" ht="30" customHeight="1" x14ac:dyDescent="0.25">
      <c r="B162" s="14">
        <v>1057378</v>
      </c>
      <c r="C162" s="102">
        <v>341000.93</v>
      </c>
      <c r="D162" s="103" t="s">
        <v>310</v>
      </c>
      <c r="E162" s="126">
        <v>1700000</v>
      </c>
      <c r="F162" s="105"/>
      <c r="G162" s="126">
        <v>1521026</v>
      </c>
      <c r="H162" s="126">
        <v>1700000</v>
      </c>
      <c r="I162" s="104">
        <f t="shared" si="41"/>
        <v>1.3333333333333333</v>
      </c>
      <c r="J162" s="168"/>
      <c r="K162" s="107">
        <v>1685000</v>
      </c>
      <c r="L162" s="161">
        <v>1249451</v>
      </c>
      <c r="M162" s="107">
        <v>1219967</v>
      </c>
      <c r="N162" s="108"/>
      <c r="O162" s="109">
        <f>M162*4/3</f>
        <v>1626622.6666666667</v>
      </c>
      <c r="P162" s="109">
        <v>1008000</v>
      </c>
      <c r="Q162" s="109">
        <f>P162*2</f>
        <v>2016000</v>
      </c>
      <c r="R162" s="107">
        <v>1685000</v>
      </c>
      <c r="S162" s="107">
        <v>1905000</v>
      </c>
      <c r="T162" s="107">
        <f>Q162+P162</f>
        <v>3024000</v>
      </c>
      <c r="U162" s="107">
        <f>S162*1.02</f>
        <v>1943100</v>
      </c>
      <c r="V162" s="107">
        <v>1037545</v>
      </c>
      <c r="W162" s="107">
        <f>V162*2</f>
        <v>2075090</v>
      </c>
      <c r="X162" s="110">
        <v>2075090</v>
      </c>
      <c r="Y162" s="107">
        <v>1680120</v>
      </c>
      <c r="Z162" s="107">
        <f t="shared" si="37"/>
        <v>2016144</v>
      </c>
      <c r="AA162" s="110">
        <v>2075000</v>
      </c>
      <c r="AB162" s="110">
        <v>1980198</v>
      </c>
      <c r="AC162" s="110">
        <v>2376000</v>
      </c>
      <c r="AD162" s="108">
        <f>AC162</f>
        <v>2376000</v>
      </c>
      <c r="AE162" s="107">
        <v>2400000</v>
      </c>
      <c r="AF162" s="107">
        <v>2400000</v>
      </c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  <c r="FS162" s="14"/>
      <c r="FT162" s="14"/>
      <c r="FU162" s="14"/>
      <c r="FV162" s="14"/>
      <c r="FW162" s="14"/>
      <c r="FX162" s="14"/>
      <c r="FY162" s="14"/>
      <c r="FZ162" s="14"/>
      <c r="GA162" s="14"/>
      <c r="GB162" s="14"/>
      <c r="GC162" s="14"/>
      <c r="GD162" s="14"/>
      <c r="GE162" s="14"/>
      <c r="GF162" s="14"/>
      <c r="GG162" s="14"/>
      <c r="GH162" s="14"/>
      <c r="GI162" s="14"/>
      <c r="GJ162" s="14"/>
      <c r="GK162" s="14"/>
      <c r="GL162" s="14"/>
      <c r="GM162" s="14"/>
      <c r="GN162" s="14"/>
      <c r="GO162" s="14"/>
      <c r="GP162" s="14"/>
      <c r="GQ162" s="14"/>
      <c r="GR162" s="14"/>
      <c r="GS162" s="14"/>
      <c r="GT162" s="14"/>
      <c r="GU162" s="14"/>
      <c r="GV162" s="14"/>
      <c r="GW162" s="14"/>
      <c r="GX162" s="14"/>
      <c r="GY162" s="14"/>
      <c r="GZ162" s="14"/>
      <c r="HA162" s="14"/>
      <c r="HB162" s="14"/>
      <c r="HC162" s="14"/>
      <c r="HD162" s="14"/>
      <c r="HE162" s="14"/>
      <c r="HF162" s="14"/>
      <c r="HG162" s="14"/>
      <c r="HH162" s="14"/>
      <c r="HI162" s="14"/>
      <c r="HJ162" s="14"/>
      <c r="HK162" s="14"/>
      <c r="HL162" s="14"/>
      <c r="HM162" s="14"/>
      <c r="HN162" s="14"/>
      <c r="HO162" s="14"/>
      <c r="HP162" s="14"/>
      <c r="HQ162" s="14"/>
      <c r="HR162" s="14"/>
      <c r="HS162" s="14"/>
      <c r="HT162" s="14"/>
      <c r="HU162" s="14"/>
      <c r="HV162" s="14"/>
      <c r="HW162" s="14"/>
      <c r="HX162" s="14"/>
      <c r="HY162" s="14"/>
      <c r="HZ162" s="14"/>
      <c r="IA162" s="14"/>
      <c r="IB162" s="14"/>
      <c r="IC162" s="14"/>
      <c r="ID162" s="14"/>
      <c r="IE162" s="14"/>
      <c r="IF162" s="14"/>
      <c r="IG162" s="14"/>
      <c r="IH162" s="14"/>
      <c r="II162" s="14"/>
      <c r="IJ162" s="14"/>
      <c r="IK162" s="14"/>
      <c r="IL162" s="14"/>
      <c r="IM162" s="14"/>
      <c r="IN162" s="14"/>
      <c r="IO162" s="14"/>
      <c r="IP162" s="14"/>
      <c r="IQ162" s="14"/>
      <c r="IR162" s="14"/>
      <c r="IS162" s="14"/>
      <c r="IT162" s="14"/>
      <c r="IU162" s="14"/>
      <c r="IV162" s="14"/>
    </row>
    <row r="163" spans="2:256" ht="30" customHeight="1" x14ac:dyDescent="0.25">
      <c r="B163" s="14">
        <v>14253</v>
      </c>
      <c r="C163" s="143">
        <v>342200.22</v>
      </c>
      <c r="D163" s="103" t="s">
        <v>311</v>
      </c>
      <c r="E163" s="126">
        <v>20000</v>
      </c>
      <c r="F163" s="105"/>
      <c r="G163" s="126">
        <v>22946</v>
      </c>
      <c r="H163" s="126">
        <v>10000</v>
      </c>
      <c r="I163" s="104">
        <f t="shared" si="41"/>
        <v>1.3333333333333333</v>
      </c>
      <c r="J163" s="168"/>
      <c r="K163" s="107">
        <v>10000</v>
      </c>
      <c r="L163" s="161">
        <v>6210</v>
      </c>
      <c r="M163" s="107">
        <v>10348</v>
      </c>
      <c r="N163" s="108"/>
      <c r="O163" s="109">
        <f>M163*4/3</f>
        <v>13797.333333333334</v>
      </c>
      <c r="P163" s="109">
        <v>13000</v>
      </c>
      <c r="Q163" s="109">
        <f>P163/8*4</f>
        <v>6500</v>
      </c>
      <c r="R163" s="107">
        <v>13000</v>
      </c>
      <c r="S163" s="107">
        <v>15200</v>
      </c>
      <c r="T163" s="107">
        <f>Q163+P163</f>
        <v>19500</v>
      </c>
      <c r="U163" s="107">
        <f>S163</f>
        <v>15200</v>
      </c>
      <c r="V163" s="107">
        <v>5264</v>
      </c>
      <c r="W163" s="107">
        <f>V163*2</f>
        <v>10528</v>
      </c>
      <c r="X163" s="110">
        <f>W163</f>
        <v>10528</v>
      </c>
      <c r="Y163" s="107">
        <v>13479</v>
      </c>
      <c r="Z163" s="107">
        <f t="shared" si="37"/>
        <v>16174.8</v>
      </c>
      <c r="AA163" s="110">
        <v>15000</v>
      </c>
      <c r="AB163" s="110">
        <v>11890</v>
      </c>
      <c r="AC163" s="110">
        <v>14000</v>
      </c>
      <c r="AD163" s="108">
        <f>AC163</f>
        <v>14000</v>
      </c>
      <c r="AE163" s="107">
        <v>13000</v>
      </c>
      <c r="AF163" s="107">
        <v>13000</v>
      </c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  <c r="FO163" s="14"/>
      <c r="FP163" s="14"/>
      <c r="FQ163" s="14"/>
      <c r="FR163" s="14"/>
      <c r="FS163" s="14"/>
      <c r="FT163" s="14"/>
      <c r="FU163" s="14"/>
      <c r="FV163" s="14"/>
      <c r="FW163" s="14"/>
      <c r="FX163" s="14"/>
      <c r="FY163" s="14"/>
      <c r="FZ163" s="14"/>
      <c r="GA163" s="14"/>
      <c r="GB163" s="14"/>
      <c r="GC163" s="14"/>
      <c r="GD163" s="14"/>
      <c r="GE163" s="14"/>
      <c r="GF163" s="14"/>
      <c r="GG163" s="14"/>
      <c r="GH163" s="14"/>
      <c r="GI163" s="14"/>
      <c r="GJ163" s="14"/>
      <c r="GK163" s="14"/>
      <c r="GL163" s="14"/>
      <c r="GM163" s="14"/>
      <c r="GN163" s="14"/>
      <c r="GO163" s="14"/>
      <c r="GP163" s="14"/>
      <c r="GQ163" s="14"/>
      <c r="GR163" s="14"/>
      <c r="GS163" s="14"/>
      <c r="GT163" s="14"/>
      <c r="GU163" s="14"/>
      <c r="GV163" s="14"/>
      <c r="GW163" s="14"/>
      <c r="GX163" s="14"/>
      <c r="GY163" s="14"/>
      <c r="GZ163" s="14"/>
      <c r="HA163" s="14"/>
      <c r="HB163" s="14"/>
      <c r="HC163" s="14"/>
      <c r="HD163" s="14"/>
      <c r="HE163" s="14"/>
      <c r="HF163" s="14"/>
      <c r="HG163" s="14"/>
      <c r="HH163" s="14"/>
      <c r="HI163" s="14"/>
      <c r="HJ163" s="14"/>
      <c r="HK163" s="14"/>
      <c r="HL163" s="14"/>
      <c r="HM163" s="14"/>
      <c r="HN163" s="14"/>
      <c r="HO163" s="14"/>
      <c r="HP163" s="14"/>
      <c r="HQ163" s="14"/>
      <c r="HR163" s="14"/>
      <c r="HS163" s="14"/>
      <c r="HT163" s="14"/>
      <c r="HU163" s="14"/>
      <c r="HV163" s="14"/>
      <c r="HW163" s="14"/>
      <c r="HX163" s="14"/>
      <c r="HY163" s="14"/>
      <c r="HZ163" s="14"/>
      <c r="IA163" s="14"/>
      <c r="IB163" s="14"/>
      <c r="IC163" s="14"/>
      <c r="ID163" s="14"/>
      <c r="IE163" s="14"/>
      <c r="IF163" s="14"/>
      <c r="IG163" s="14"/>
      <c r="IH163" s="14"/>
      <c r="II163" s="14"/>
      <c r="IJ163" s="14"/>
      <c r="IK163" s="14"/>
      <c r="IL163" s="14"/>
      <c r="IM163" s="14"/>
      <c r="IN163" s="14"/>
      <c r="IO163" s="14"/>
      <c r="IP163" s="14"/>
      <c r="IQ163" s="14"/>
      <c r="IR163" s="14"/>
      <c r="IS163" s="14"/>
      <c r="IT163" s="14"/>
      <c r="IU163" s="14"/>
      <c r="IV163" s="14"/>
    </row>
    <row r="164" spans="2:256" ht="30" customHeight="1" x14ac:dyDescent="0.25">
      <c r="B164" s="14">
        <v>138268</v>
      </c>
      <c r="C164" s="143">
        <v>342200.93</v>
      </c>
      <c r="D164" s="103" t="s">
        <v>312</v>
      </c>
      <c r="E164" s="126">
        <v>120000</v>
      </c>
      <c r="F164" s="105"/>
      <c r="G164" s="126">
        <f>228466-80000</f>
        <v>148466</v>
      </c>
      <c r="H164" s="126">
        <v>100000</v>
      </c>
      <c r="I164" s="104">
        <f t="shared" si="41"/>
        <v>1.3333333333333333</v>
      </c>
      <c r="J164" s="168"/>
      <c r="K164" s="107">
        <v>205000</v>
      </c>
      <c r="L164" s="161">
        <v>153340</v>
      </c>
      <c r="M164" s="107">
        <v>155076</v>
      </c>
      <c r="N164" s="108"/>
      <c r="O164" s="109">
        <f>M164*4/3</f>
        <v>206768</v>
      </c>
      <c r="P164" s="109">
        <v>86000</v>
      </c>
      <c r="Q164" s="109">
        <f>P164*2</f>
        <v>172000</v>
      </c>
      <c r="R164" s="107">
        <v>205000</v>
      </c>
      <c r="S164" s="107">
        <v>185500</v>
      </c>
      <c r="T164" s="107">
        <f>Q164+P164</f>
        <v>258000</v>
      </c>
      <c r="U164" s="107">
        <f>S164*1.02</f>
        <v>189210</v>
      </c>
      <c r="V164" s="107">
        <v>116030</v>
      </c>
      <c r="W164" s="107">
        <f>V164*2</f>
        <v>232060</v>
      </c>
      <c r="X164" s="110">
        <f>W164</f>
        <v>232060</v>
      </c>
      <c r="Y164" s="107">
        <v>175678</v>
      </c>
      <c r="Z164" s="107">
        <f t="shared" si="37"/>
        <v>210813.6</v>
      </c>
      <c r="AA164" s="110">
        <v>240300</v>
      </c>
      <c r="AB164" s="110">
        <v>111534</v>
      </c>
      <c r="AC164" s="110">
        <v>134000</v>
      </c>
      <c r="AD164" s="108">
        <f>AC164</f>
        <v>134000</v>
      </c>
      <c r="AE164" s="107">
        <v>125000</v>
      </c>
      <c r="AF164" s="107">
        <v>125000</v>
      </c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  <c r="GC164" s="14"/>
      <c r="GD164" s="14"/>
      <c r="GE164" s="14"/>
      <c r="GF164" s="14"/>
      <c r="GG164" s="14"/>
      <c r="GH164" s="14"/>
      <c r="GI164" s="14"/>
      <c r="GJ164" s="14"/>
      <c r="GK164" s="14"/>
      <c r="GL164" s="14"/>
      <c r="GM164" s="14"/>
      <c r="GN164" s="14"/>
      <c r="GO164" s="14"/>
      <c r="GP164" s="14"/>
      <c r="GQ164" s="14"/>
      <c r="GR164" s="14"/>
      <c r="GS164" s="14"/>
      <c r="GT164" s="14"/>
      <c r="GU164" s="14"/>
      <c r="GV164" s="14"/>
      <c r="GW164" s="14"/>
      <c r="GX164" s="14"/>
      <c r="GY164" s="14"/>
      <c r="GZ164" s="14"/>
      <c r="HA164" s="14"/>
      <c r="HB164" s="14"/>
      <c r="HC164" s="14"/>
      <c r="HD164" s="14"/>
      <c r="HE164" s="14"/>
      <c r="HF164" s="14"/>
      <c r="HG164" s="14"/>
      <c r="HH164" s="14"/>
      <c r="HI164" s="14"/>
      <c r="HJ164" s="14"/>
      <c r="HK164" s="14"/>
      <c r="HL164" s="14"/>
      <c r="HM164" s="14"/>
      <c r="HN164" s="14"/>
      <c r="HO164" s="14"/>
      <c r="HP164" s="14"/>
      <c r="HQ164" s="14"/>
      <c r="HR164" s="14"/>
      <c r="HS164" s="14"/>
      <c r="HT164" s="14"/>
      <c r="HU164" s="14"/>
      <c r="HV164" s="14"/>
      <c r="HW164" s="14"/>
      <c r="HX164" s="14"/>
      <c r="HY164" s="14"/>
      <c r="HZ164" s="14"/>
      <c r="IA164" s="14"/>
      <c r="IB164" s="14"/>
      <c r="IC164" s="14"/>
      <c r="ID164" s="14"/>
      <c r="IE164" s="14"/>
      <c r="IF164" s="14"/>
      <c r="IG164" s="14"/>
      <c r="IH164" s="14"/>
      <c r="II164" s="14"/>
      <c r="IJ164" s="14"/>
      <c r="IK164" s="14"/>
      <c r="IL164" s="14"/>
      <c r="IM164" s="14"/>
      <c r="IN164" s="14"/>
      <c r="IO164" s="14"/>
      <c r="IP164" s="14"/>
      <c r="IQ164" s="14"/>
      <c r="IR164" s="14"/>
      <c r="IS164" s="14"/>
      <c r="IT164" s="14"/>
      <c r="IU164" s="14"/>
      <c r="IV164" s="14"/>
    </row>
    <row r="165" spans="2:256" ht="30" customHeight="1" x14ac:dyDescent="0.25">
      <c r="B165" s="14">
        <v>39259</v>
      </c>
      <c r="C165" s="102">
        <v>342400.93</v>
      </c>
      <c r="D165" s="103" t="s">
        <v>313</v>
      </c>
      <c r="E165" s="126">
        <v>52000</v>
      </c>
      <c r="F165" s="105"/>
      <c r="G165" s="126">
        <v>59297</v>
      </c>
      <c r="H165" s="126">
        <v>45000</v>
      </c>
      <c r="I165" s="104">
        <f t="shared" si="41"/>
        <v>1.3333333333333333</v>
      </c>
      <c r="J165" s="168"/>
      <c r="K165" s="107">
        <v>44000</v>
      </c>
      <c r="L165" s="161">
        <v>32670</v>
      </c>
      <c r="M165" s="107">
        <v>28868</v>
      </c>
      <c r="N165" s="108"/>
      <c r="O165" s="109">
        <f>M165*4/3</f>
        <v>38490.666666666664</v>
      </c>
      <c r="P165" s="109">
        <v>18000</v>
      </c>
      <c r="Q165" s="109">
        <f>P165*2</f>
        <v>36000</v>
      </c>
      <c r="R165" s="107">
        <v>40000</v>
      </c>
      <c r="S165" s="107">
        <v>39000</v>
      </c>
      <c r="T165" s="107">
        <f>Q165+P165</f>
        <v>54000</v>
      </c>
      <c r="U165" s="107">
        <f>S165*1.02</f>
        <v>39780</v>
      </c>
      <c r="V165" s="107">
        <v>17160</v>
      </c>
      <c r="W165" s="107">
        <f>V165*2</f>
        <v>34320</v>
      </c>
      <c r="X165" s="110">
        <f>W165</f>
        <v>34320</v>
      </c>
      <c r="Y165" s="107">
        <v>32487</v>
      </c>
      <c r="Z165" s="107">
        <f t="shared" si="37"/>
        <v>38984.400000000001</v>
      </c>
      <c r="AA165" s="110">
        <v>39000</v>
      </c>
      <c r="AB165" s="110">
        <v>32487</v>
      </c>
      <c r="AC165" s="110">
        <v>39000</v>
      </c>
      <c r="AD165" s="108">
        <f>AC165</f>
        <v>39000</v>
      </c>
      <c r="AE165" s="107">
        <v>39000</v>
      </c>
      <c r="AF165" s="107">
        <v>39000</v>
      </c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4"/>
      <c r="FP165" s="14"/>
      <c r="FQ165" s="14"/>
      <c r="FR165" s="14"/>
      <c r="FS165" s="14"/>
      <c r="FT165" s="14"/>
      <c r="FU165" s="14"/>
      <c r="FV165" s="14"/>
      <c r="FW165" s="14"/>
      <c r="FX165" s="14"/>
      <c r="FY165" s="14"/>
      <c r="FZ165" s="14"/>
      <c r="GA165" s="14"/>
      <c r="GB165" s="14"/>
      <c r="GC165" s="14"/>
      <c r="GD165" s="14"/>
      <c r="GE165" s="14"/>
      <c r="GF165" s="14"/>
      <c r="GG165" s="14"/>
      <c r="GH165" s="14"/>
      <c r="GI165" s="14"/>
      <c r="GJ165" s="14"/>
      <c r="GK165" s="14"/>
      <c r="GL165" s="14"/>
      <c r="GM165" s="14"/>
      <c r="GN165" s="14"/>
      <c r="GO165" s="14"/>
      <c r="GP165" s="14"/>
      <c r="GQ165" s="14"/>
      <c r="GR165" s="14"/>
      <c r="GS165" s="14"/>
      <c r="GT165" s="14"/>
      <c r="GU165" s="14"/>
      <c r="GV165" s="14"/>
      <c r="GW165" s="14"/>
      <c r="GX165" s="14"/>
      <c r="GY165" s="14"/>
      <c r="GZ165" s="14"/>
      <c r="HA165" s="14"/>
      <c r="HB165" s="14"/>
      <c r="HC165" s="14"/>
      <c r="HD165" s="14"/>
      <c r="HE165" s="14"/>
      <c r="HF165" s="14"/>
      <c r="HG165" s="14"/>
      <c r="HH165" s="14"/>
      <c r="HI165" s="14"/>
      <c r="HJ165" s="14"/>
      <c r="HK165" s="14"/>
      <c r="HL165" s="14"/>
      <c r="HM165" s="14"/>
      <c r="HN165" s="14"/>
      <c r="HO165" s="14"/>
      <c r="HP165" s="14"/>
      <c r="HQ165" s="14"/>
      <c r="HR165" s="14"/>
      <c r="HS165" s="14"/>
      <c r="HT165" s="14"/>
      <c r="HU165" s="14"/>
      <c r="HV165" s="14"/>
      <c r="HW165" s="14"/>
      <c r="HX165" s="14"/>
      <c r="HY165" s="14"/>
      <c r="HZ165" s="14"/>
      <c r="IA165" s="14"/>
      <c r="IB165" s="14"/>
      <c r="IC165" s="14"/>
      <c r="ID165" s="14"/>
      <c r="IE165" s="14"/>
      <c r="IF165" s="14"/>
      <c r="IG165" s="14"/>
      <c r="IH165" s="14"/>
      <c r="II165" s="14"/>
      <c r="IJ165" s="14"/>
      <c r="IK165" s="14"/>
      <c r="IL165" s="14"/>
      <c r="IM165" s="14"/>
      <c r="IN165" s="14"/>
      <c r="IO165" s="14"/>
      <c r="IP165" s="14"/>
      <c r="IQ165" s="14"/>
      <c r="IR165" s="14"/>
      <c r="IS165" s="14"/>
      <c r="IT165" s="14"/>
      <c r="IU165" s="14"/>
      <c r="IV165" s="14"/>
    </row>
    <row r="166" spans="2:256" ht="30" customHeight="1" x14ac:dyDescent="0.25">
      <c r="B166" s="14"/>
      <c r="C166" s="131" t="s">
        <v>279</v>
      </c>
      <c r="D166" s="150"/>
      <c r="E166" s="115">
        <f>SUM(E162:E165)</f>
        <v>1892000</v>
      </c>
      <c r="F166" s="115">
        <f>SUM(F162:F165)</f>
        <v>0</v>
      </c>
      <c r="G166" s="115">
        <f>SUM(G162:G165)</f>
        <v>1751735</v>
      </c>
      <c r="H166" s="115">
        <f>SUM(H162:H165)</f>
        <v>1855000</v>
      </c>
      <c r="I166" s="104">
        <f t="shared" si="41"/>
        <v>1.3333333333333333</v>
      </c>
      <c r="J166" s="168"/>
      <c r="K166" s="117">
        <f t="shared" ref="K166:AF166" si="53">SUM(K162:K165)</f>
        <v>1944000</v>
      </c>
      <c r="L166" s="117">
        <f t="shared" si="53"/>
        <v>1441671</v>
      </c>
      <c r="M166" s="117">
        <f t="shared" si="53"/>
        <v>1414259</v>
      </c>
      <c r="N166" s="117">
        <f t="shared" si="53"/>
        <v>0</v>
      </c>
      <c r="O166" s="118">
        <f t="shared" si="53"/>
        <v>1885678.6666666667</v>
      </c>
      <c r="P166" s="118">
        <f t="shared" si="53"/>
        <v>1125000</v>
      </c>
      <c r="Q166" s="118">
        <f t="shared" si="53"/>
        <v>2230500</v>
      </c>
      <c r="R166" s="117">
        <f t="shared" si="53"/>
        <v>1943000</v>
      </c>
      <c r="S166" s="117">
        <f t="shared" si="53"/>
        <v>2144700</v>
      </c>
      <c r="T166" s="117">
        <f t="shared" si="53"/>
        <v>3355500</v>
      </c>
      <c r="U166" s="117">
        <f t="shared" si="53"/>
        <v>2187290</v>
      </c>
      <c r="V166" s="117">
        <f t="shared" si="53"/>
        <v>1175999</v>
      </c>
      <c r="W166" s="117">
        <f t="shared" si="53"/>
        <v>2351998</v>
      </c>
      <c r="X166" s="117">
        <f t="shared" si="53"/>
        <v>2351998</v>
      </c>
      <c r="Y166" s="117">
        <f t="shared" si="53"/>
        <v>1901764</v>
      </c>
      <c r="Z166" s="117">
        <f t="shared" si="53"/>
        <v>2282116.7999999998</v>
      </c>
      <c r="AA166" s="117">
        <f t="shared" si="53"/>
        <v>2369300</v>
      </c>
      <c r="AB166" s="117">
        <f t="shared" si="53"/>
        <v>2136109</v>
      </c>
      <c r="AC166" s="117">
        <f t="shared" si="53"/>
        <v>2563000</v>
      </c>
      <c r="AD166" s="117">
        <f t="shared" si="53"/>
        <v>2563000</v>
      </c>
      <c r="AE166" s="117">
        <f t="shared" si="53"/>
        <v>2577000</v>
      </c>
      <c r="AF166" s="117">
        <f t="shared" si="53"/>
        <v>2577000</v>
      </c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  <c r="FS166" s="14"/>
      <c r="FT166" s="14"/>
      <c r="FU166" s="14"/>
      <c r="FV166" s="14"/>
      <c r="FW166" s="14"/>
      <c r="FX166" s="14"/>
      <c r="FY166" s="14"/>
      <c r="FZ166" s="14"/>
      <c r="GA166" s="14"/>
      <c r="GB166" s="14"/>
      <c r="GC166" s="14"/>
      <c r="GD166" s="14"/>
      <c r="GE166" s="14"/>
      <c r="GF166" s="14"/>
      <c r="GG166" s="14"/>
      <c r="GH166" s="14"/>
      <c r="GI166" s="14"/>
      <c r="GJ166" s="14"/>
      <c r="GK166" s="14"/>
      <c r="GL166" s="14"/>
      <c r="GM166" s="14"/>
      <c r="GN166" s="14"/>
      <c r="GO166" s="14"/>
      <c r="GP166" s="14"/>
      <c r="GQ166" s="14"/>
      <c r="GR166" s="14"/>
      <c r="GS166" s="14"/>
      <c r="GT166" s="14"/>
      <c r="GU166" s="14"/>
      <c r="GV166" s="14"/>
      <c r="GW166" s="14"/>
      <c r="GX166" s="14"/>
      <c r="GY166" s="14"/>
      <c r="GZ166" s="14"/>
      <c r="HA166" s="14"/>
      <c r="HB166" s="14"/>
      <c r="HC166" s="14"/>
      <c r="HD166" s="14"/>
      <c r="HE166" s="14"/>
      <c r="HF166" s="14"/>
      <c r="HG166" s="14"/>
      <c r="HH166" s="14"/>
      <c r="HI166" s="14"/>
      <c r="HJ166" s="14"/>
      <c r="HK166" s="14"/>
      <c r="HL166" s="14"/>
      <c r="HM166" s="14"/>
      <c r="HN166" s="14"/>
      <c r="HO166" s="14"/>
      <c r="HP166" s="14"/>
      <c r="HQ166" s="14"/>
      <c r="HR166" s="14"/>
      <c r="HS166" s="14"/>
      <c r="HT166" s="14"/>
      <c r="HU166" s="14"/>
      <c r="HV166" s="14"/>
      <c r="HW166" s="14"/>
      <c r="HX166" s="14"/>
      <c r="HY166" s="14"/>
      <c r="HZ166" s="14"/>
      <c r="IA166" s="14"/>
      <c r="IB166" s="14"/>
      <c r="IC166" s="14"/>
      <c r="ID166" s="14"/>
      <c r="IE166" s="14"/>
      <c r="IF166" s="14"/>
      <c r="IG166" s="14"/>
      <c r="IH166" s="14"/>
      <c r="II166" s="14"/>
      <c r="IJ166" s="14"/>
      <c r="IK166" s="14"/>
      <c r="IL166" s="14"/>
      <c r="IM166" s="14"/>
      <c r="IN166" s="14"/>
      <c r="IO166" s="14"/>
      <c r="IP166" s="14"/>
      <c r="IQ166" s="14"/>
      <c r="IR166" s="14"/>
      <c r="IS166" s="14"/>
      <c r="IT166" s="14"/>
      <c r="IU166" s="14"/>
      <c r="IV166" s="14"/>
    </row>
    <row r="167" spans="2:256" ht="30" customHeight="1" x14ac:dyDescent="0.25">
      <c r="B167" s="14"/>
      <c r="C167" s="102"/>
      <c r="D167" s="103"/>
      <c r="E167" s="169"/>
      <c r="F167" s="105"/>
      <c r="G167" s="126"/>
      <c r="H167" s="169"/>
      <c r="I167" s="104">
        <f t="shared" si="41"/>
        <v>1.3333333333333333</v>
      </c>
      <c r="J167" s="168"/>
      <c r="K167" s="107"/>
      <c r="L167" s="161"/>
      <c r="M167" s="107"/>
      <c r="N167" s="108"/>
      <c r="O167" s="109"/>
      <c r="P167" s="109"/>
      <c r="Q167" s="109"/>
      <c r="R167" s="107"/>
      <c r="S167" s="107"/>
      <c r="T167" s="107"/>
      <c r="U167" s="107"/>
      <c r="V167" s="107"/>
      <c r="W167" s="107"/>
      <c r="X167" s="110"/>
      <c r="Y167" s="107"/>
      <c r="Z167" s="107">
        <f t="shared" si="37"/>
        <v>0</v>
      </c>
      <c r="AA167" s="110"/>
      <c r="AB167" s="110"/>
      <c r="AC167" s="110"/>
      <c r="AD167" s="110"/>
      <c r="AE167" s="161"/>
      <c r="AF167" s="161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  <c r="FS167" s="14"/>
      <c r="FT167" s="14"/>
      <c r="FU167" s="14"/>
      <c r="FV167" s="14"/>
      <c r="FW167" s="14"/>
      <c r="FX167" s="14"/>
      <c r="FY167" s="14"/>
      <c r="FZ167" s="14"/>
      <c r="GA167" s="14"/>
      <c r="GB167" s="14"/>
      <c r="GC167" s="14"/>
      <c r="GD167" s="14"/>
      <c r="GE167" s="14"/>
      <c r="GF167" s="14"/>
      <c r="GG167" s="14"/>
      <c r="GH167" s="14"/>
      <c r="GI167" s="14"/>
      <c r="GJ167" s="14"/>
      <c r="GK167" s="14"/>
      <c r="GL167" s="14"/>
      <c r="GM167" s="14"/>
      <c r="GN167" s="14"/>
      <c r="GO167" s="14"/>
      <c r="GP167" s="14"/>
      <c r="GQ167" s="14"/>
      <c r="GR167" s="14"/>
      <c r="GS167" s="14"/>
      <c r="GT167" s="14"/>
      <c r="GU167" s="14"/>
      <c r="GV167" s="14"/>
      <c r="GW167" s="14"/>
      <c r="GX167" s="14"/>
      <c r="GY167" s="14"/>
      <c r="GZ167" s="14"/>
      <c r="HA167" s="14"/>
      <c r="HB167" s="14"/>
      <c r="HC167" s="14"/>
      <c r="HD167" s="14"/>
      <c r="HE167" s="14"/>
      <c r="HF167" s="14"/>
      <c r="HG167" s="14"/>
      <c r="HH167" s="14"/>
      <c r="HI167" s="14"/>
      <c r="HJ167" s="14"/>
      <c r="HK167" s="14"/>
      <c r="HL167" s="14"/>
      <c r="HM167" s="14"/>
      <c r="HN167" s="14"/>
      <c r="HO167" s="14"/>
      <c r="HP167" s="14"/>
      <c r="HQ167" s="14"/>
      <c r="HR167" s="14"/>
      <c r="HS167" s="14"/>
      <c r="HT167" s="14"/>
      <c r="HU167" s="14"/>
      <c r="HV167" s="14"/>
      <c r="HW167" s="14"/>
      <c r="HX167" s="14"/>
      <c r="HY167" s="14"/>
      <c r="HZ167" s="14"/>
      <c r="IA167" s="14"/>
      <c r="IB167" s="14"/>
      <c r="IC167" s="14"/>
      <c r="ID167" s="14"/>
      <c r="IE167" s="14"/>
      <c r="IF167" s="14"/>
      <c r="IG167" s="14"/>
      <c r="IH167" s="14"/>
      <c r="II167" s="14"/>
      <c r="IJ167" s="14"/>
      <c r="IK167" s="14"/>
      <c r="IL167" s="14"/>
      <c r="IM167" s="14"/>
      <c r="IN167" s="14"/>
      <c r="IO167" s="14"/>
      <c r="IP167" s="14"/>
      <c r="IQ167" s="14"/>
      <c r="IR167" s="14"/>
      <c r="IS167" s="14"/>
      <c r="IT167" s="14"/>
      <c r="IU167" s="14"/>
      <c r="IV167" s="14"/>
    </row>
    <row r="168" spans="2:256" ht="30" customHeight="1" x14ac:dyDescent="0.25">
      <c r="B168" s="14">
        <v>34886</v>
      </c>
      <c r="C168" s="143">
        <v>343500.42</v>
      </c>
      <c r="D168" s="103" t="s">
        <v>314</v>
      </c>
      <c r="E168" s="126">
        <v>46000</v>
      </c>
      <c r="F168" s="105"/>
      <c r="G168" s="126">
        <v>24441</v>
      </c>
      <c r="H168" s="126">
        <v>35000</v>
      </c>
      <c r="I168" s="104">
        <f t="shared" si="41"/>
        <v>1.3333333333333333</v>
      </c>
      <c r="J168" s="168"/>
      <c r="K168" s="107">
        <v>171000</v>
      </c>
      <c r="L168" s="161">
        <v>128081</v>
      </c>
      <c r="M168" s="107">
        <v>13535</v>
      </c>
      <c r="N168" s="108"/>
      <c r="O168" s="109">
        <f t="shared" ref="O168:O173" si="54">M168*4/3</f>
        <v>18046.666666666668</v>
      </c>
      <c r="P168" s="109">
        <v>9000</v>
      </c>
      <c r="Q168" s="109">
        <f>P168/7*5</f>
        <v>6428.5714285714294</v>
      </c>
      <c r="R168" s="107">
        <v>50000</v>
      </c>
      <c r="S168" s="107">
        <v>30500</v>
      </c>
      <c r="T168" s="107">
        <f t="shared" ref="T168:T173" si="55">Q168+P168</f>
        <v>15428.571428571429</v>
      </c>
      <c r="U168" s="107">
        <f>S168</f>
        <v>30500</v>
      </c>
      <c r="V168" s="107">
        <v>7238</v>
      </c>
      <c r="W168" s="107">
        <f>V168*2</f>
        <v>14476</v>
      </c>
      <c r="X168" s="110">
        <f t="shared" ref="X168:X173" si="56">W168</f>
        <v>14476</v>
      </c>
      <c r="Y168" s="107">
        <v>11674</v>
      </c>
      <c r="Z168" s="107">
        <f t="shared" si="37"/>
        <v>14008.8</v>
      </c>
      <c r="AA168" s="110">
        <v>15000</v>
      </c>
      <c r="AB168" s="110">
        <v>10231</v>
      </c>
      <c r="AC168" s="110">
        <v>12000</v>
      </c>
      <c r="AD168" s="108">
        <f t="shared" ref="AD168:AD173" si="57">AC168</f>
        <v>12000</v>
      </c>
      <c r="AE168" s="107">
        <v>10000</v>
      </c>
      <c r="AF168" s="107">
        <v>10000</v>
      </c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4"/>
      <c r="FP168" s="14"/>
      <c r="FQ168" s="14"/>
      <c r="FR168" s="14"/>
      <c r="FS168" s="14"/>
      <c r="FT168" s="14"/>
      <c r="FU168" s="14"/>
      <c r="FV168" s="14"/>
      <c r="FW168" s="14"/>
      <c r="FX168" s="14"/>
      <c r="FY168" s="14"/>
      <c r="FZ168" s="14"/>
      <c r="GA168" s="14"/>
      <c r="GB168" s="14"/>
      <c r="GC168" s="14"/>
      <c r="GD168" s="14"/>
      <c r="GE168" s="14"/>
      <c r="GF168" s="14"/>
      <c r="GG168" s="14"/>
      <c r="GH168" s="14"/>
      <c r="GI168" s="14"/>
      <c r="GJ168" s="14"/>
      <c r="GK168" s="14"/>
      <c r="GL168" s="14"/>
      <c r="GM168" s="14"/>
      <c r="GN168" s="14"/>
      <c r="GO168" s="14"/>
      <c r="GP168" s="14"/>
      <c r="GQ168" s="14"/>
      <c r="GR168" s="14"/>
      <c r="GS168" s="14"/>
      <c r="GT168" s="14"/>
      <c r="GU168" s="14"/>
      <c r="GV168" s="14"/>
      <c r="GW168" s="14"/>
      <c r="GX168" s="14"/>
      <c r="GY168" s="14"/>
      <c r="GZ168" s="14"/>
      <c r="HA168" s="14"/>
      <c r="HB168" s="14"/>
      <c r="HC168" s="14"/>
      <c r="HD168" s="14"/>
      <c r="HE168" s="14"/>
      <c r="HF168" s="14"/>
      <c r="HG168" s="14"/>
      <c r="HH168" s="14"/>
      <c r="HI168" s="14"/>
      <c r="HJ168" s="14"/>
      <c r="HK168" s="14"/>
      <c r="HL168" s="14"/>
      <c r="HM168" s="14"/>
      <c r="HN168" s="14"/>
      <c r="HO168" s="14"/>
      <c r="HP168" s="14"/>
      <c r="HQ168" s="14"/>
      <c r="HR168" s="14"/>
      <c r="HS168" s="14"/>
      <c r="HT168" s="14"/>
      <c r="HU168" s="14"/>
      <c r="HV168" s="14"/>
      <c r="HW168" s="14"/>
      <c r="HX168" s="14"/>
      <c r="HY168" s="14"/>
      <c r="HZ168" s="14"/>
      <c r="IA168" s="14"/>
      <c r="IB168" s="14"/>
      <c r="IC168" s="14"/>
      <c r="ID168" s="14"/>
      <c r="IE168" s="14"/>
      <c r="IF168" s="14"/>
      <c r="IG168" s="14"/>
      <c r="IH168" s="14"/>
      <c r="II168" s="14"/>
      <c r="IJ168" s="14"/>
      <c r="IK168" s="14"/>
      <c r="IL168" s="14"/>
      <c r="IM168" s="14"/>
      <c r="IN168" s="14"/>
      <c r="IO168" s="14"/>
      <c r="IP168" s="14"/>
      <c r="IQ168" s="14"/>
      <c r="IR168" s="14"/>
      <c r="IS168" s="14"/>
      <c r="IT168" s="14"/>
      <c r="IU168" s="14"/>
      <c r="IV168" s="14"/>
    </row>
    <row r="169" spans="2:256" ht="30" customHeight="1" x14ac:dyDescent="0.25">
      <c r="B169" s="14">
        <v>228684</v>
      </c>
      <c r="C169" s="102">
        <v>343500.93</v>
      </c>
      <c r="D169" s="103" t="s">
        <v>388</v>
      </c>
      <c r="E169" s="126">
        <v>300000</v>
      </c>
      <c r="F169" s="105"/>
      <c r="G169" s="126">
        <v>361505</v>
      </c>
      <c r="H169" s="126">
        <v>285000</v>
      </c>
      <c r="I169" s="104">
        <f t="shared" si="41"/>
        <v>1.3333333333333333</v>
      </c>
      <c r="J169" s="168"/>
      <c r="K169" s="107">
        <v>443000</v>
      </c>
      <c r="L169" s="161">
        <v>331557</v>
      </c>
      <c r="M169" s="107">
        <v>650991</v>
      </c>
      <c r="N169" s="108"/>
      <c r="O169" s="109">
        <f t="shared" si="54"/>
        <v>867988</v>
      </c>
      <c r="P169" s="109">
        <v>252000</v>
      </c>
      <c r="Q169" s="109">
        <f>P169/6*6</f>
        <v>252000</v>
      </c>
      <c r="R169" s="107">
        <v>480000</v>
      </c>
      <c r="S169" s="107">
        <v>601300</v>
      </c>
      <c r="T169" s="107">
        <f t="shared" si="55"/>
        <v>504000</v>
      </c>
      <c r="U169" s="107">
        <f>S169*1.02</f>
        <v>613326</v>
      </c>
      <c r="V169" s="107">
        <v>785418</v>
      </c>
      <c r="W169" s="107">
        <f>V169*2</f>
        <v>1570836</v>
      </c>
      <c r="X169" s="110">
        <f t="shared" si="56"/>
        <v>1570836</v>
      </c>
      <c r="Y169" s="107">
        <v>836706</v>
      </c>
      <c r="Z169" s="107">
        <f t="shared" si="37"/>
        <v>1004047.2</v>
      </c>
      <c r="AA169" s="110">
        <v>1000000</v>
      </c>
      <c r="AB169" s="110">
        <v>887342</v>
      </c>
      <c r="AC169" s="110">
        <v>1065000</v>
      </c>
      <c r="AD169" s="108">
        <f t="shared" si="57"/>
        <v>1065000</v>
      </c>
      <c r="AE169" s="107">
        <v>900000</v>
      </c>
      <c r="AF169" s="107">
        <v>1000000</v>
      </c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4"/>
      <c r="FP169" s="14"/>
      <c r="FQ169" s="14"/>
      <c r="FR169" s="14"/>
      <c r="FS169" s="14"/>
      <c r="FT169" s="14"/>
      <c r="FU169" s="14"/>
      <c r="FV169" s="14"/>
      <c r="FW169" s="14"/>
      <c r="FX169" s="14"/>
      <c r="FY169" s="14"/>
      <c r="FZ169" s="14"/>
      <c r="GA169" s="14"/>
      <c r="GB169" s="14"/>
      <c r="GC169" s="14"/>
      <c r="GD169" s="14"/>
      <c r="GE169" s="14"/>
      <c r="GF169" s="14"/>
      <c r="GG169" s="14"/>
      <c r="GH169" s="14"/>
      <c r="GI169" s="14"/>
      <c r="GJ169" s="14"/>
      <c r="GK169" s="14"/>
      <c r="GL169" s="14"/>
      <c r="GM169" s="14"/>
      <c r="GN169" s="14"/>
      <c r="GO169" s="14"/>
      <c r="GP169" s="14"/>
      <c r="GQ169" s="14"/>
      <c r="GR169" s="14"/>
      <c r="GS169" s="14"/>
      <c r="GT169" s="14"/>
      <c r="GU169" s="14"/>
      <c r="GV169" s="14"/>
      <c r="GW169" s="14"/>
      <c r="GX169" s="14"/>
      <c r="GY169" s="14"/>
      <c r="GZ169" s="14"/>
      <c r="HA169" s="14"/>
      <c r="HB169" s="14"/>
      <c r="HC169" s="14"/>
      <c r="HD169" s="14"/>
      <c r="HE169" s="14"/>
      <c r="HF169" s="14"/>
      <c r="HG169" s="14"/>
      <c r="HH169" s="14"/>
      <c r="HI169" s="14"/>
      <c r="HJ169" s="14"/>
      <c r="HK169" s="14"/>
      <c r="HL169" s="14"/>
      <c r="HM169" s="14"/>
      <c r="HN169" s="14"/>
      <c r="HO169" s="14"/>
      <c r="HP169" s="14"/>
      <c r="HQ169" s="14"/>
      <c r="HR169" s="14"/>
      <c r="HS169" s="14"/>
      <c r="HT169" s="14"/>
      <c r="HU169" s="14"/>
      <c r="HV169" s="14"/>
      <c r="HW169" s="14"/>
      <c r="HX169" s="14"/>
      <c r="HY169" s="14"/>
      <c r="HZ169" s="14"/>
      <c r="IA169" s="14"/>
      <c r="IB169" s="14"/>
      <c r="IC169" s="14"/>
      <c r="ID169" s="14"/>
      <c r="IE169" s="14"/>
      <c r="IF169" s="14"/>
      <c r="IG169" s="14"/>
      <c r="IH169" s="14"/>
      <c r="II169" s="14"/>
      <c r="IJ169" s="14"/>
      <c r="IK169" s="14"/>
      <c r="IL169" s="14"/>
      <c r="IM169" s="14"/>
      <c r="IN169" s="14"/>
      <c r="IO169" s="14"/>
      <c r="IP169" s="14"/>
      <c r="IQ169" s="14"/>
      <c r="IR169" s="14"/>
      <c r="IS169" s="14"/>
      <c r="IT169" s="14"/>
      <c r="IU169" s="14"/>
      <c r="IV169" s="14"/>
    </row>
    <row r="170" spans="2:256" ht="30" customHeight="1" x14ac:dyDescent="0.25">
      <c r="B170" s="14">
        <v>685622</v>
      </c>
      <c r="C170" s="102">
        <v>343800.93</v>
      </c>
      <c r="D170" s="103" t="s">
        <v>593</v>
      </c>
      <c r="E170" s="126">
        <v>1420000</v>
      </c>
      <c r="F170" s="105"/>
      <c r="G170" s="126">
        <v>1566047</v>
      </c>
      <c r="H170" s="126">
        <v>1540000</v>
      </c>
      <c r="I170" s="104">
        <f t="shared" si="41"/>
        <v>1.3333333333333333</v>
      </c>
      <c r="J170" s="168"/>
      <c r="K170" s="107">
        <v>1424000</v>
      </c>
      <c r="L170" s="161">
        <v>1068065</v>
      </c>
      <c r="M170" s="107">
        <v>994751</v>
      </c>
      <c r="N170" s="108"/>
      <c r="O170" s="109">
        <f t="shared" si="54"/>
        <v>1326334.6666666667</v>
      </c>
      <c r="P170" s="109">
        <v>714000</v>
      </c>
      <c r="Q170" s="109">
        <f>P170/6*6</f>
        <v>714000</v>
      </c>
      <c r="R170" s="107">
        <v>1424000</v>
      </c>
      <c r="S170" s="107">
        <v>1859000</v>
      </c>
      <c r="T170" s="107">
        <f t="shared" si="55"/>
        <v>1428000</v>
      </c>
      <c r="U170" s="107">
        <f>S170*1.02+228000</f>
        <v>2124180</v>
      </c>
      <c r="V170" s="107">
        <v>689355</v>
      </c>
      <c r="W170" s="107">
        <f>V170*2+200000</f>
        <v>1578710</v>
      </c>
      <c r="X170" s="110">
        <f t="shared" si="56"/>
        <v>1578710</v>
      </c>
      <c r="Y170" s="107">
        <v>1110128</v>
      </c>
      <c r="Z170" s="107">
        <f t="shared" si="37"/>
        <v>1332153.6000000001</v>
      </c>
      <c r="AA170" s="110">
        <v>1350000</v>
      </c>
      <c r="AB170" s="110">
        <v>1351743</v>
      </c>
      <c r="AC170" s="110">
        <v>1622000</v>
      </c>
      <c r="AD170" s="108">
        <f t="shared" si="57"/>
        <v>1622000</v>
      </c>
      <c r="AE170" s="107">
        <v>1800000</v>
      </c>
      <c r="AF170" s="107">
        <v>1800000</v>
      </c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14"/>
      <c r="FM170" s="14"/>
      <c r="FN170" s="14"/>
      <c r="FO170" s="14"/>
      <c r="FP170" s="14"/>
      <c r="FQ170" s="14"/>
      <c r="FR170" s="14"/>
      <c r="FS170" s="14"/>
      <c r="FT170" s="14"/>
      <c r="FU170" s="14"/>
      <c r="FV170" s="14"/>
      <c r="FW170" s="14"/>
      <c r="FX170" s="14"/>
      <c r="FY170" s="14"/>
      <c r="FZ170" s="14"/>
      <c r="GA170" s="14"/>
      <c r="GB170" s="14"/>
      <c r="GC170" s="14"/>
      <c r="GD170" s="14"/>
      <c r="GE170" s="14"/>
      <c r="GF170" s="14"/>
      <c r="GG170" s="14"/>
      <c r="GH170" s="14"/>
      <c r="GI170" s="14"/>
      <c r="GJ170" s="14"/>
      <c r="GK170" s="14"/>
      <c r="GL170" s="14"/>
      <c r="GM170" s="14"/>
      <c r="GN170" s="14"/>
      <c r="GO170" s="14"/>
      <c r="GP170" s="14"/>
      <c r="GQ170" s="14"/>
      <c r="GR170" s="14"/>
      <c r="GS170" s="14"/>
      <c r="GT170" s="14"/>
      <c r="GU170" s="14"/>
      <c r="GV170" s="14"/>
      <c r="GW170" s="14"/>
      <c r="GX170" s="14"/>
      <c r="GY170" s="14"/>
      <c r="GZ170" s="14"/>
      <c r="HA170" s="14"/>
      <c r="HB170" s="14"/>
      <c r="HC170" s="14"/>
      <c r="HD170" s="14"/>
      <c r="HE170" s="14"/>
      <c r="HF170" s="14"/>
      <c r="HG170" s="14"/>
      <c r="HH170" s="14"/>
      <c r="HI170" s="14"/>
      <c r="HJ170" s="14"/>
      <c r="HK170" s="14"/>
      <c r="HL170" s="14"/>
      <c r="HM170" s="14"/>
      <c r="HN170" s="14"/>
      <c r="HO170" s="14"/>
      <c r="HP170" s="14"/>
      <c r="HQ170" s="14"/>
      <c r="HR170" s="14"/>
      <c r="HS170" s="14"/>
      <c r="HT170" s="14"/>
      <c r="HU170" s="14"/>
      <c r="HV170" s="14"/>
      <c r="HW170" s="14"/>
      <c r="HX170" s="14"/>
      <c r="HY170" s="14"/>
      <c r="HZ170" s="14"/>
      <c r="IA170" s="14"/>
      <c r="IB170" s="14"/>
      <c r="IC170" s="14"/>
      <c r="ID170" s="14"/>
      <c r="IE170" s="14"/>
      <c r="IF170" s="14"/>
      <c r="IG170" s="14"/>
      <c r="IH170" s="14"/>
      <c r="II170" s="14"/>
      <c r="IJ170" s="14"/>
      <c r="IK170" s="14"/>
      <c r="IL170" s="14"/>
      <c r="IM170" s="14"/>
      <c r="IN170" s="14"/>
      <c r="IO170" s="14"/>
      <c r="IP170" s="14"/>
      <c r="IQ170" s="14"/>
      <c r="IR170" s="14"/>
      <c r="IS170" s="14"/>
      <c r="IT170" s="14"/>
      <c r="IU170" s="14"/>
      <c r="IV170" s="14"/>
    </row>
    <row r="171" spans="2:256" ht="30" customHeight="1" x14ac:dyDescent="0.25">
      <c r="B171" s="14">
        <v>454451</v>
      </c>
      <c r="C171" s="102">
        <v>343900.93</v>
      </c>
      <c r="D171" s="103" t="s">
        <v>389</v>
      </c>
      <c r="E171" s="126">
        <v>450000</v>
      </c>
      <c r="F171" s="105"/>
      <c r="G171" s="126">
        <v>351766</v>
      </c>
      <c r="H171" s="126">
        <v>411000</v>
      </c>
      <c r="I171" s="104">
        <f t="shared" ref="I171:I205" si="58">4/3</f>
        <v>1.3333333333333333</v>
      </c>
      <c r="J171" s="168"/>
      <c r="K171" s="107">
        <v>455000</v>
      </c>
      <c r="L171" s="161">
        <v>340397</v>
      </c>
      <c r="M171" s="107">
        <v>491765</v>
      </c>
      <c r="N171" s="108"/>
      <c r="O171" s="109">
        <f t="shared" si="54"/>
        <v>655686.66666666663</v>
      </c>
      <c r="P171" s="109">
        <v>508000</v>
      </c>
      <c r="Q171" s="109">
        <f>P171/6*6</f>
        <v>508000</v>
      </c>
      <c r="R171" s="107">
        <v>534092</v>
      </c>
      <c r="S171" s="107">
        <v>1201000</v>
      </c>
      <c r="T171" s="107">
        <f t="shared" si="55"/>
        <v>1016000</v>
      </c>
      <c r="U171" s="107">
        <f>S171*1.02</f>
        <v>1225020</v>
      </c>
      <c r="V171" s="107">
        <f>537125+100000</f>
        <v>637125</v>
      </c>
      <c r="W171" s="107">
        <f>V171*2</f>
        <v>1274250</v>
      </c>
      <c r="X171" s="110">
        <f t="shared" si="56"/>
        <v>1274250</v>
      </c>
      <c r="Y171" s="107">
        <v>774153</v>
      </c>
      <c r="Z171" s="107">
        <f t="shared" si="37"/>
        <v>928983.6</v>
      </c>
      <c r="AA171" s="110">
        <v>1000000</v>
      </c>
      <c r="AB171" s="110">
        <v>1055126</v>
      </c>
      <c r="AC171" s="110">
        <v>1266000</v>
      </c>
      <c r="AD171" s="108">
        <f t="shared" si="57"/>
        <v>1266000</v>
      </c>
      <c r="AE171" s="107">
        <v>1400000</v>
      </c>
      <c r="AF171" s="107">
        <v>1400000</v>
      </c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  <c r="FO171" s="14"/>
      <c r="FP171" s="14"/>
      <c r="FQ171" s="14"/>
      <c r="FR171" s="14"/>
      <c r="FS171" s="14"/>
      <c r="FT171" s="14"/>
      <c r="FU171" s="14"/>
      <c r="FV171" s="14"/>
      <c r="FW171" s="14"/>
      <c r="FX171" s="14"/>
      <c r="FY171" s="14"/>
      <c r="FZ171" s="14"/>
      <c r="GA171" s="14"/>
      <c r="GB171" s="14"/>
      <c r="GC171" s="14"/>
      <c r="GD171" s="14"/>
      <c r="GE171" s="14"/>
      <c r="GF171" s="14"/>
      <c r="GG171" s="14"/>
      <c r="GH171" s="14"/>
      <c r="GI171" s="14"/>
      <c r="GJ171" s="14"/>
      <c r="GK171" s="14"/>
      <c r="GL171" s="14"/>
      <c r="GM171" s="14"/>
      <c r="GN171" s="14"/>
      <c r="GO171" s="14"/>
      <c r="GP171" s="14"/>
      <c r="GQ171" s="14"/>
      <c r="GR171" s="14"/>
      <c r="GS171" s="14"/>
      <c r="GT171" s="14"/>
      <c r="GU171" s="14"/>
      <c r="GV171" s="14"/>
      <c r="GW171" s="14"/>
      <c r="GX171" s="14"/>
      <c r="GY171" s="14"/>
      <c r="GZ171" s="14"/>
      <c r="HA171" s="14"/>
      <c r="HB171" s="14"/>
      <c r="HC171" s="14"/>
      <c r="HD171" s="14"/>
      <c r="HE171" s="14"/>
      <c r="HF171" s="14"/>
      <c r="HG171" s="14"/>
      <c r="HH171" s="14"/>
      <c r="HI171" s="14"/>
      <c r="HJ171" s="14"/>
      <c r="HK171" s="14"/>
      <c r="HL171" s="14"/>
      <c r="HM171" s="14"/>
      <c r="HN171" s="14"/>
      <c r="HO171" s="14"/>
      <c r="HP171" s="14"/>
      <c r="HQ171" s="14"/>
      <c r="HR171" s="14"/>
      <c r="HS171" s="14"/>
      <c r="HT171" s="14"/>
      <c r="HU171" s="14"/>
      <c r="HV171" s="14"/>
      <c r="HW171" s="14"/>
      <c r="HX171" s="14"/>
      <c r="HY171" s="14"/>
      <c r="HZ171" s="14"/>
      <c r="IA171" s="14"/>
      <c r="IB171" s="14"/>
      <c r="IC171" s="14"/>
      <c r="ID171" s="14"/>
      <c r="IE171" s="14"/>
      <c r="IF171" s="14"/>
      <c r="IG171" s="14"/>
      <c r="IH171" s="14"/>
      <c r="II171" s="14"/>
      <c r="IJ171" s="14"/>
      <c r="IK171" s="14"/>
      <c r="IL171" s="14"/>
      <c r="IM171" s="14"/>
      <c r="IN171" s="14"/>
      <c r="IO171" s="14"/>
      <c r="IP171" s="14"/>
      <c r="IQ171" s="14"/>
      <c r="IR171" s="14"/>
      <c r="IS171" s="14"/>
      <c r="IT171" s="14"/>
      <c r="IU171" s="14"/>
      <c r="IV171" s="14"/>
    </row>
    <row r="172" spans="2:256" ht="30" customHeight="1" x14ac:dyDescent="0.25">
      <c r="B172" s="14">
        <v>62141</v>
      </c>
      <c r="C172" s="102">
        <v>344400.93</v>
      </c>
      <c r="D172" s="103" t="s">
        <v>315</v>
      </c>
      <c r="E172" s="126">
        <v>250000</v>
      </c>
      <c r="F172" s="105"/>
      <c r="G172" s="126">
        <v>160885</v>
      </c>
      <c r="H172" s="126">
        <v>200000</v>
      </c>
      <c r="I172" s="104">
        <f t="shared" si="58"/>
        <v>1.3333333333333333</v>
      </c>
      <c r="J172" s="168"/>
      <c r="K172" s="107">
        <v>210000</v>
      </c>
      <c r="L172" s="161">
        <v>156404</v>
      </c>
      <c r="M172" s="107">
        <v>51080</v>
      </c>
      <c r="N172" s="108"/>
      <c r="O172" s="109">
        <f t="shared" si="54"/>
        <v>68106.666666666672</v>
      </c>
      <c r="P172" s="109">
        <v>29000</v>
      </c>
      <c r="Q172" s="109">
        <f>P172/6*6</f>
        <v>29000</v>
      </c>
      <c r="R172" s="107">
        <v>70000</v>
      </c>
      <c r="S172" s="107">
        <v>92900</v>
      </c>
      <c r="T172" s="107">
        <f t="shared" si="55"/>
        <v>58000</v>
      </c>
      <c r="U172" s="107">
        <f>S172*1.02</f>
        <v>94758</v>
      </c>
      <c r="V172" s="107">
        <v>46164</v>
      </c>
      <c r="W172" s="107">
        <f>V172*2</f>
        <v>92328</v>
      </c>
      <c r="X172" s="110">
        <f t="shared" si="56"/>
        <v>92328</v>
      </c>
      <c r="Y172" s="107">
        <v>95750</v>
      </c>
      <c r="Z172" s="107">
        <f t="shared" si="37"/>
        <v>114900</v>
      </c>
      <c r="AA172" s="110">
        <v>161000</v>
      </c>
      <c r="AB172" s="110">
        <v>120452</v>
      </c>
      <c r="AC172" s="110">
        <v>144500</v>
      </c>
      <c r="AD172" s="108">
        <f t="shared" si="57"/>
        <v>144500</v>
      </c>
      <c r="AE172" s="107">
        <v>144000</v>
      </c>
      <c r="AF172" s="107">
        <v>144000</v>
      </c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  <c r="FO172" s="14"/>
      <c r="FP172" s="14"/>
      <c r="FQ172" s="14"/>
      <c r="FR172" s="14"/>
      <c r="FS172" s="14"/>
      <c r="FT172" s="14"/>
      <c r="FU172" s="14"/>
      <c r="FV172" s="14"/>
      <c r="FW172" s="14"/>
      <c r="FX172" s="14"/>
      <c r="FY172" s="14"/>
      <c r="FZ172" s="14"/>
      <c r="GA172" s="14"/>
      <c r="GB172" s="14"/>
      <c r="GC172" s="14"/>
      <c r="GD172" s="14"/>
      <c r="GE172" s="14"/>
      <c r="GF172" s="14"/>
      <c r="GG172" s="14"/>
      <c r="GH172" s="14"/>
      <c r="GI172" s="14"/>
      <c r="GJ172" s="14"/>
      <c r="GK172" s="14"/>
      <c r="GL172" s="14"/>
      <c r="GM172" s="14"/>
      <c r="GN172" s="14"/>
      <c r="GO172" s="14"/>
      <c r="GP172" s="14"/>
      <c r="GQ172" s="14"/>
      <c r="GR172" s="14"/>
      <c r="GS172" s="14"/>
      <c r="GT172" s="14"/>
      <c r="GU172" s="14"/>
      <c r="GV172" s="14"/>
      <c r="GW172" s="14"/>
      <c r="GX172" s="14"/>
      <c r="GY172" s="14"/>
      <c r="GZ172" s="14"/>
      <c r="HA172" s="14"/>
      <c r="HB172" s="14"/>
      <c r="HC172" s="14"/>
      <c r="HD172" s="14"/>
      <c r="HE172" s="14"/>
      <c r="HF172" s="14"/>
      <c r="HG172" s="14"/>
      <c r="HH172" s="14"/>
      <c r="HI172" s="14"/>
      <c r="HJ172" s="14"/>
      <c r="HK172" s="14"/>
      <c r="HL172" s="14"/>
      <c r="HM172" s="14"/>
      <c r="HN172" s="14"/>
      <c r="HO172" s="14"/>
      <c r="HP172" s="14"/>
      <c r="HQ172" s="14"/>
      <c r="HR172" s="14"/>
      <c r="HS172" s="14"/>
      <c r="HT172" s="14"/>
      <c r="HU172" s="14"/>
      <c r="HV172" s="14"/>
      <c r="HW172" s="14"/>
      <c r="HX172" s="14"/>
      <c r="HY172" s="14"/>
      <c r="HZ172" s="14"/>
      <c r="IA172" s="14"/>
      <c r="IB172" s="14"/>
      <c r="IC172" s="14"/>
      <c r="ID172" s="14"/>
      <c r="IE172" s="14"/>
      <c r="IF172" s="14"/>
      <c r="IG172" s="14"/>
      <c r="IH172" s="14"/>
      <c r="II172" s="14"/>
      <c r="IJ172" s="14"/>
      <c r="IK172" s="14"/>
      <c r="IL172" s="14"/>
      <c r="IM172" s="14"/>
      <c r="IN172" s="14"/>
      <c r="IO172" s="14"/>
      <c r="IP172" s="14"/>
      <c r="IQ172" s="14"/>
      <c r="IR172" s="14"/>
      <c r="IS172" s="14"/>
      <c r="IT172" s="14"/>
      <c r="IU172" s="14"/>
      <c r="IV172" s="14"/>
    </row>
    <row r="173" spans="2:256" ht="30" customHeight="1" x14ac:dyDescent="0.25">
      <c r="B173" s="14">
        <v>171586</v>
      </c>
      <c r="C173" s="102">
        <v>344500.93</v>
      </c>
      <c r="D173" s="103" t="s">
        <v>523</v>
      </c>
      <c r="E173" s="126">
        <v>30000</v>
      </c>
      <c r="F173" s="105"/>
      <c r="G173" s="126">
        <f>322179-150000</f>
        <v>172179</v>
      </c>
      <c r="H173" s="126">
        <v>140000</v>
      </c>
      <c r="I173" s="104">
        <f t="shared" si="58"/>
        <v>1.3333333333333333</v>
      </c>
      <c r="J173" s="154"/>
      <c r="K173" s="107">
        <v>70000</v>
      </c>
      <c r="L173" s="161">
        <v>52096</v>
      </c>
      <c r="M173" s="107">
        <v>50050</v>
      </c>
      <c r="N173" s="108"/>
      <c r="O173" s="109">
        <f t="shared" si="54"/>
        <v>66733.333333333328</v>
      </c>
      <c r="P173" s="109">
        <v>120000</v>
      </c>
      <c r="Q173" s="109">
        <f>P173/6*6</f>
        <v>120000</v>
      </c>
      <c r="R173" s="107">
        <v>70000</v>
      </c>
      <c r="S173" s="107">
        <v>251600</v>
      </c>
      <c r="T173" s="107">
        <f t="shared" si="55"/>
        <v>240000</v>
      </c>
      <c r="U173" s="107">
        <f>S173*1.02</f>
        <v>256632</v>
      </c>
      <c r="V173" s="107">
        <v>137500</v>
      </c>
      <c r="W173" s="107">
        <f>V173*2</f>
        <v>275000</v>
      </c>
      <c r="X173" s="110">
        <f t="shared" si="56"/>
        <v>275000</v>
      </c>
      <c r="Y173" s="107">
        <v>279964</v>
      </c>
      <c r="Z173" s="107">
        <f t="shared" si="37"/>
        <v>335956.8</v>
      </c>
      <c r="AA173" s="110">
        <v>336000</v>
      </c>
      <c r="AB173" s="110">
        <v>241154</v>
      </c>
      <c r="AC173" s="110">
        <v>289000</v>
      </c>
      <c r="AD173" s="108">
        <f t="shared" si="57"/>
        <v>289000</v>
      </c>
      <c r="AE173" s="107">
        <v>289000</v>
      </c>
      <c r="AF173" s="107">
        <v>289000</v>
      </c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  <c r="FO173" s="14"/>
      <c r="FP173" s="14"/>
      <c r="FQ173" s="14"/>
      <c r="FR173" s="14"/>
      <c r="FS173" s="14"/>
      <c r="FT173" s="14"/>
      <c r="FU173" s="14"/>
      <c r="FV173" s="14"/>
      <c r="FW173" s="14"/>
      <c r="FX173" s="14"/>
      <c r="FY173" s="14"/>
      <c r="FZ173" s="14"/>
      <c r="GA173" s="14"/>
      <c r="GB173" s="14"/>
      <c r="GC173" s="14"/>
      <c r="GD173" s="14"/>
      <c r="GE173" s="14"/>
      <c r="GF173" s="14"/>
      <c r="GG173" s="14"/>
      <c r="GH173" s="14"/>
      <c r="GI173" s="14"/>
      <c r="GJ173" s="14"/>
      <c r="GK173" s="14"/>
      <c r="GL173" s="14"/>
      <c r="GM173" s="14"/>
      <c r="GN173" s="14"/>
      <c r="GO173" s="14"/>
      <c r="GP173" s="14"/>
      <c r="GQ173" s="14"/>
      <c r="GR173" s="14"/>
      <c r="GS173" s="14"/>
      <c r="GT173" s="14"/>
      <c r="GU173" s="14"/>
      <c r="GV173" s="14"/>
      <c r="GW173" s="14"/>
      <c r="GX173" s="14"/>
      <c r="GY173" s="14"/>
      <c r="GZ173" s="14"/>
      <c r="HA173" s="14"/>
      <c r="HB173" s="14"/>
      <c r="HC173" s="14"/>
      <c r="HD173" s="14"/>
      <c r="HE173" s="14"/>
      <c r="HF173" s="14"/>
      <c r="HG173" s="14"/>
      <c r="HH173" s="14"/>
      <c r="HI173" s="14"/>
      <c r="HJ173" s="14"/>
      <c r="HK173" s="14"/>
      <c r="HL173" s="14"/>
      <c r="HM173" s="14"/>
      <c r="HN173" s="14"/>
      <c r="HO173" s="14"/>
      <c r="HP173" s="14"/>
      <c r="HQ173" s="14"/>
      <c r="HR173" s="14"/>
      <c r="HS173" s="14"/>
      <c r="HT173" s="14"/>
      <c r="HU173" s="14"/>
      <c r="HV173" s="14"/>
      <c r="HW173" s="14"/>
      <c r="HX173" s="14"/>
      <c r="HY173" s="14"/>
      <c r="HZ173" s="14"/>
      <c r="IA173" s="14"/>
      <c r="IB173" s="14"/>
      <c r="IC173" s="14"/>
      <c r="ID173" s="14"/>
      <c r="IE173" s="14"/>
      <c r="IF173" s="14"/>
      <c r="IG173" s="14"/>
      <c r="IH173" s="14"/>
      <c r="II173" s="14"/>
      <c r="IJ173" s="14"/>
      <c r="IK173" s="14"/>
      <c r="IL173" s="14"/>
      <c r="IM173" s="14"/>
      <c r="IN173" s="14"/>
      <c r="IO173" s="14"/>
      <c r="IP173" s="14"/>
      <c r="IQ173" s="14"/>
      <c r="IR173" s="14"/>
      <c r="IS173" s="14"/>
      <c r="IT173" s="14"/>
      <c r="IU173" s="14"/>
      <c r="IV173" s="14"/>
    </row>
    <row r="174" spans="2:256" ht="30" customHeight="1" x14ac:dyDescent="0.25">
      <c r="B174" s="14"/>
      <c r="C174" s="102">
        <v>344544.69</v>
      </c>
      <c r="D174" s="103" t="s">
        <v>675</v>
      </c>
      <c r="E174" s="126"/>
      <c r="F174" s="105"/>
      <c r="G174" s="126"/>
      <c r="H174" s="126"/>
      <c r="I174" s="104"/>
      <c r="J174" s="154"/>
      <c r="K174" s="107"/>
      <c r="L174" s="161"/>
      <c r="M174" s="107"/>
      <c r="N174" s="108"/>
      <c r="O174" s="109"/>
      <c r="P174" s="109"/>
      <c r="Q174" s="109"/>
      <c r="R174" s="107"/>
      <c r="S174" s="107"/>
      <c r="T174" s="107"/>
      <c r="U174" s="107"/>
      <c r="V174" s="107"/>
      <c r="W174" s="107"/>
      <c r="X174" s="110"/>
      <c r="Y174" s="107"/>
      <c r="Z174" s="107"/>
      <c r="AA174" s="110"/>
      <c r="AB174" s="110"/>
      <c r="AC174" s="110"/>
      <c r="AD174" s="108">
        <v>1500000</v>
      </c>
      <c r="AE174" s="148">
        <v>430000</v>
      </c>
      <c r="AF174" s="148">
        <v>430000</v>
      </c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4"/>
      <c r="FP174" s="14"/>
      <c r="FQ174" s="14"/>
      <c r="FR174" s="14"/>
      <c r="FS174" s="14"/>
      <c r="FT174" s="14"/>
      <c r="FU174" s="14"/>
      <c r="FV174" s="14"/>
      <c r="FW174" s="14"/>
      <c r="FX174" s="14"/>
      <c r="FY174" s="14"/>
      <c r="FZ174" s="14"/>
      <c r="GA174" s="14"/>
      <c r="GB174" s="14"/>
      <c r="GC174" s="14"/>
      <c r="GD174" s="14"/>
      <c r="GE174" s="14"/>
      <c r="GF174" s="14"/>
      <c r="GG174" s="14"/>
      <c r="GH174" s="14"/>
      <c r="GI174" s="14"/>
      <c r="GJ174" s="14"/>
      <c r="GK174" s="14"/>
      <c r="GL174" s="14"/>
      <c r="GM174" s="14"/>
      <c r="GN174" s="14"/>
      <c r="GO174" s="14"/>
      <c r="GP174" s="14"/>
      <c r="GQ174" s="14"/>
      <c r="GR174" s="14"/>
      <c r="GS174" s="14"/>
      <c r="GT174" s="14"/>
      <c r="GU174" s="14"/>
      <c r="GV174" s="14"/>
      <c r="GW174" s="14"/>
      <c r="GX174" s="14"/>
      <c r="GY174" s="14"/>
      <c r="GZ174" s="14"/>
      <c r="HA174" s="14"/>
      <c r="HB174" s="14"/>
      <c r="HC174" s="14"/>
      <c r="HD174" s="14"/>
      <c r="HE174" s="14"/>
      <c r="HF174" s="14"/>
      <c r="HG174" s="14"/>
      <c r="HH174" s="14"/>
      <c r="HI174" s="14"/>
      <c r="HJ174" s="14"/>
      <c r="HK174" s="14"/>
      <c r="HL174" s="14"/>
      <c r="HM174" s="14"/>
      <c r="HN174" s="14"/>
      <c r="HO174" s="14"/>
      <c r="HP174" s="14"/>
      <c r="HQ174" s="14"/>
      <c r="HR174" s="14"/>
      <c r="HS174" s="14"/>
      <c r="HT174" s="14"/>
      <c r="HU174" s="14"/>
      <c r="HV174" s="14"/>
      <c r="HW174" s="14"/>
      <c r="HX174" s="14"/>
      <c r="HY174" s="14"/>
      <c r="HZ174" s="14"/>
      <c r="IA174" s="14"/>
      <c r="IB174" s="14"/>
      <c r="IC174" s="14"/>
      <c r="ID174" s="14"/>
      <c r="IE174" s="14"/>
      <c r="IF174" s="14"/>
      <c r="IG174" s="14"/>
      <c r="IH174" s="14"/>
      <c r="II174" s="14"/>
      <c r="IJ174" s="14"/>
      <c r="IK174" s="14"/>
      <c r="IL174" s="14"/>
      <c r="IM174" s="14"/>
      <c r="IN174" s="14"/>
      <c r="IO174" s="14"/>
      <c r="IP174" s="14"/>
      <c r="IQ174" s="14"/>
      <c r="IR174" s="14"/>
      <c r="IS174" s="14"/>
      <c r="IT174" s="14"/>
      <c r="IU174" s="14"/>
      <c r="IV174" s="14"/>
    </row>
    <row r="175" spans="2:256" ht="30" customHeight="1" x14ac:dyDescent="0.25">
      <c r="B175" s="14"/>
      <c r="C175" s="113" t="s">
        <v>280</v>
      </c>
      <c r="D175" s="150"/>
      <c r="E175" s="115">
        <f>SUM(E168:E173)</f>
        <v>2496000</v>
      </c>
      <c r="F175" s="115">
        <f>SUM(F168:F173)</f>
        <v>0</v>
      </c>
      <c r="G175" s="115">
        <f>SUM(G168:G173)</f>
        <v>2636823</v>
      </c>
      <c r="H175" s="115">
        <f>SUM(H168:H173)</f>
        <v>2611000</v>
      </c>
      <c r="I175" s="104">
        <f t="shared" si="58"/>
        <v>1.3333333333333333</v>
      </c>
      <c r="J175" s="154"/>
      <c r="K175" s="117">
        <f t="shared" ref="K175:X175" si="59">SUM(K168:K173)</f>
        <v>2773000</v>
      </c>
      <c r="L175" s="117">
        <f t="shared" si="59"/>
        <v>2076600</v>
      </c>
      <c r="M175" s="117">
        <f t="shared" si="59"/>
        <v>2252172</v>
      </c>
      <c r="N175" s="117">
        <f t="shared" si="59"/>
        <v>0</v>
      </c>
      <c r="O175" s="118">
        <f t="shared" si="59"/>
        <v>3002896</v>
      </c>
      <c r="P175" s="118">
        <f>SUM(P168:P173)</f>
        <v>1632000</v>
      </c>
      <c r="Q175" s="118">
        <f>SUM(Q168:Q173)</f>
        <v>1629428.5714285714</v>
      </c>
      <c r="R175" s="117">
        <f>SUM(R168:R173)</f>
        <v>2628092</v>
      </c>
      <c r="S175" s="117">
        <f t="shared" si="59"/>
        <v>4036300</v>
      </c>
      <c r="T175" s="117">
        <f t="shared" si="59"/>
        <v>3261428.5714285714</v>
      </c>
      <c r="U175" s="117">
        <f t="shared" si="59"/>
        <v>4344416</v>
      </c>
      <c r="V175" s="117">
        <f t="shared" si="59"/>
        <v>2302800</v>
      </c>
      <c r="W175" s="117">
        <f t="shared" si="59"/>
        <v>4805600</v>
      </c>
      <c r="X175" s="117">
        <f t="shared" si="59"/>
        <v>4805600</v>
      </c>
      <c r="Y175" s="117">
        <f>SUM(Y168:Y173)</f>
        <v>3108375</v>
      </c>
      <c r="Z175" s="117">
        <f>SUM(Z168:Z173)</f>
        <v>3730050</v>
      </c>
      <c r="AA175" s="117">
        <f>SUM(AA168:AA173)</f>
        <v>3862000</v>
      </c>
      <c r="AB175" s="117">
        <f>SUM(AB168:AB173)</f>
        <v>3666048</v>
      </c>
      <c r="AC175" s="117">
        <f>SUM(AC168:AC173)</f>
        <v>4398500</v>
      </c>
      <c r="AD175" s="117">
        <f>SUM(AD168:AD174)</f>
        <v>5898500</v>
      </c>
      <c r="AE175" s="117">
        <f>SUM(AE168:AE174)</f>
        <v>4973000</v>
      </c>
      <c r="AF175" s="117">
        <f>SUM(AF168:AF174)</f>
        <v>5073000</v>
      </c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  <c r="FO175" s="14"/>
      <c r="FP175" s="14"/>
      <c r="FQ175" s="14"/>
      <c r="FR175" s="14"/>
      <c r="FS175" s="14"/>
      <c r="FT175" s="14"/>
      <c r="FU175" s="14"/>
      <c r="FV175" s="14"/>
      <c r="FW175" s="14"/>
      <c r="FX175" s="14"/>
      <c r="FY175" s="14"/>
      <c r="FZ175" s="14"/>
      <c r="GA175" s="14"/>
      <c r="GB175" s="14"/>
      <c r="GC175" s="14"/>
      <c r="GD175" s="14"/>
      <c r="GE175" s="14"/>
      <c r="GF175" s="14"/>
      <c r="GG175" s="14"/>
      <c r="GH175" s="14"/>
      <c r="GI175" s="14"/>
      <c r="GJ175" s="14"/>
      <c r="GK175" s="14"/>
      <c r="GL175" s="14"/>
      <c r="GM175" s="14"/>
      <c r="GN175" s="14"/>
      <c r="GO175" s="14"/>
      <c r="GP175" s="14"/>
      <c r="GQ175" s="14"/>
      <c r="GR175" s="14"/>
      <c r="GS175" s="14"/>
      <c r="GT175" s="14"/>
      <c r="GU175" s="14"/>
      <c r="GV175" s="14"/>
      <c r="GW175" s="14"/>
      <c r="GX175" s="14"/>
      <c r="GY175" s="14"/>
      <c r="GZ175" s="14"/>
      <c r="HA175" s="14"/>
      <c r="HB175" s="14"/>
      <c r="HC175" s="14"/>
      <c r="HD175" s="14"/>
      <c r="HE175" s="14"/>
      <c r="HF175" s="14"/>
      <c r="HG175" s="14"/>
      <c r="HH175" s="14"/>
      <c r="HI175" s="14"/>
      <c r="HJ175" s="14"/>
      <c r="HK175" s="14"/>
      <c r="HL175" s="14"/>
      <c r="HM175" s="14"/>
      <c r="HN175" s="14"/>
      <c r="HO175" s="14"/>
      <c r="HP175" s="14"/>
      <c r="HQ175" s="14"/>
      <c r="HR175" s="14"/>
      <c r="HS175" s="14"/>
      <c r="HT175" s="14"/>
      <c r="HU175" s="14"/>
      <c r="HV175" s="14"/>
      <c r="HW175" s="14"/>
      <c r="HX175" s="14"/>
      <c r="HY175" s="14"/>
      <c r="HZ175" s="14"/>
      <c r="IA175" s="14"/>
      <c r="IB175" s="14"/>
      <c r="IC175" s="14"/>
      <c r="ID175" s="14"/>
      <c r="IE175" s="14"/>
      <c r="IF175" s="14"/>
      <c r="IG175" s="14"/>
      <c r="IH175" s="14"/>
      <c r="II175" s="14"/>
      <c r="IJ175" s="14"/>
      <c r="IK175" s="14"/>
      <c r="IL175" s="14"/>
      <c r="IM175" s="14"/>
      <c r="IN175" s="14"/>
      <c r="IO175" s="14"/>
      <c r="IP175" s="14"/>
      <c r="IQ175" s="14"/>
      <c r="IR175" s="14"/>
      <c r="IS175" s="14"/>
      <c r="IT175" s="14"/>
      <c r="IU175" s="14"/>
      <c r="IV175" s="14"/>
    </row>
    <row r="176" spans="2:256" ht="30" customHeight="1" x14ac:dyDescent="0.25">
      <c r="B176" s="14"/>
      <c r="C176" s="140">
        <v>344600.92</v>
      </c>
      <c r="D176" s="144" t="s">
        <v>412</v>
      </c>
      <c r="E176" s="105">
        <v>0</v>
      </c>
      <c r="F176" s="105"/>
      <c r="G176" s="105">
        <v>0</v>
      </c>
      <c r="H176" s="105">
        <f>492100+29000</f>
        <v>521100</v>
      </c>
      <c r="I176" s="104"/>
      <c r="J176" s="154"/>
      <c r="K176" s="170">
        <f>492100+29000</f>
        <v>521100</v>
      </c>
      <c r="L176" s="161">
        <v>116175</v>
      </c>
      <c r="M176" s="107">
        <v>310430</v>
      </c>
      <c r="N176" s="108"/>
      <c r="O176" s="109">
        <f>M176*4/3</f>
        <v>413906.66666666669</v>
      </c>
      <c r="P176" s="109">
        <v>218000</v>
      </c>
      <c r="Q176" s="109">
        <f>653600-218000</f>
        <v>435600</v>
      </c>
      <c r="R176" s="170">
        <f>191100+32500+290000+90000+50000</f>
        <v>653600</v>
      </c>
      <c r="S176" s="170">
        <f>191100+32500+290000+90000+50000</f>
        <v>653600</v>
      </c>
      <c r="T176" s="107">
        <f>Q176+P176</f>
        <v>653600</v>
      </c>
      <c r="U176" s="107">
        <f>S176</f>
        <v>653600</v>
      </c>
      <c r="V176" s="107">
        <v>113369</v>
      </c>
      <c r="W176" s="107">
        <v>653600</v>
      </c>
      <c r="X176" s="110">
        <f>U176</f>
        <v>653600</v>
      </c>
      <c r="Y176" s="107">
        <v>291598</v>
      </c>
      <c r="Z176" s="107">
        <f t="shared" si="37"/>
        <v>349917.6</v>
      </c>
      <c r="AA176" s="110">
        <v>100000</v>
      </c>
      <c r="AB176" s="110">
        <v>11440</v>
      </c>
      <c r="AC176" s="110">
        <v>13700</v>
      </c>
      <c r="AD176" s="108">
        <f>AC176</f>
        <v>13700</v>
      </c>
      <c r="AE176" s="108">
        <v>75500</v>
      </c>
      <c r="AF176" s="108">
        <v>75000</v>
      </c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  <c r="FS176" s="14"/>
      <c r="FT176" s="14"/>
      <c r="FU176" s="14"/>
      <c r="FV176" s="14"/>
      <c r="FW176" s="14"/>
      <c r="FX176" s="14"/>
      <c r="FY176" s="14"/>
      <c r="FZ176" s="14"/>
      <c r="GA176" s="14"/>
      <c r="GB176" s="14"/>
      <c r="GC176" s="14"/>
      <c r="GD176" s="14"/>
      <c r="GE176" s="14"/>
      <c r="GF176" s="14"/>
      <c r="GG176" s="14"/>
      <c r="GH176" s="14"/>
      <c r="GI176" s="14"/>
      <c r="GJ176" s="14"/>
      <c r="GK176" s="14"/>
      <c r="GL176" s="14"/>
      <c r="GM176" s="14"/>
      <c r="GN176" s="14"/>
      <c r="GO176" s="14"/>
      <c r="GP176" s="14"/>
      <c r="GQ176" s="14"/>
      <c r="GR176" s="14"/>
      <c r="GS176" s="14"/>
      <c r="GT176" s="14"/>
      <c r="GU176" s="14"/>
      <c r="GV176" s="14"/>
      <c r="GW176" s="14"/>
      <c r="GX176" s="14"/>
      <c r="GY176" s="14"/>
      <c r="GZ176" s="14"/>
      <c r="HA176" s="14"/>
      <c r="HB176" s="14"/>
      <c r="HC176" s="14"/>
      <c r="HD176" s="14"/>
      <c r="HE176" s="14"/>
      <c r="HF176" s="14"/>
      <c r="HG176" s="14"/>
      <c r="HH176" s="14"/>
      <c r="HI176" s="14"/>
      <c r="HJ176" s="14"/>
      <c r="HK176" s="14"/>
      <c r="HL176" s="14"/>
      <c r="HM176" s="14"/>
      <c r="HN176" s="14"/>
      <c r="HO176" s="14"/>
      <c r="HP176" s="14"/>
      <c r="HQ176" s="14"/>
      <c r="HR176" s="14"/>
      <c r="HS176" s="14"/>
      <c r="HT176" s="14"/>
      <c r="HU176" s="14"/>
      <c r="HV176" s="14"/>
      <c r="HW176" s="14"/>
      <c r="HX176" s="14"/>
      <c r="HY176" s="14"/>
      <c r="HZ176" s="14"/>
      <c r="IA176" s="14"/>
      <c r="IB176" s="14"/>
      <c r="IC176" s="14"/>
      <c r="ID176" s="14"/>
      <c r="IE176" s="14"/>
      <c r="IF176" s="14"/>
      <c r="IG176" s="14"/>
      <c r="IH176" s="14"/>
      <c r="II176" s="14"/>
      <c r="IJ176" s="14"/>
      <c r="IK176" s="14"/>
      <c r="IL176" s="14"/>
      <c r="IM176" s="14"/>
      <c r="IN176" s="14"/>
      <c r="IO176" s="14"/>
      <c r="IP176" s="14"/>
      <c r="IQ176" s="14"/>
      <c r="IR176" s="14"/>
      <c r="IS176" s="14"/>
      <c r="IT176" s="14"/>
      <c r="IU176" s="14"/>
      <c r="IV176" s="14"/>
    </row>
    <row r="177" spans="2:256" ht="30" customHeight="1" x14ac:dyDescent="0.25">
      <c r="B177" s="14"/>
      <c r="C177" s="140">
        <v>344600.93</v>
      </c>
      <c r="D177" s="144" t="s">
        <v>411</v>
      </c>
      <c r="E177" s="105">
        <v>0</v>
      </c>
      <c r="F177" s="105"/>
      <c r="G177" s="105">
        <v>0</v>
      </c>
      <c r="H177" s="105">
        <f>340980+100000</f>
        <v>440980</v>
      </c>
      <c r="I177" s="104"/>
      <c r="J177" s="154"/>
      <c r="K177" s="170">
        <v>689900</v>
      </c>
      <c r="L177" s="161">
        <v>80000</v>
      </c>
      <c r="M177" s="107">
        <v>178595</v>
      </c>
      <c r="N177" s="108"/>
      <c r="O177" s="109">
        <f>M177*4/3</f>
        <v>238126.66666666666</v>
      </c>
      <c r="P177" s="109">
        <v>400000</v>
      </c>
      <c r="Q177" s="109">
        <f>1141800-400000</f>
        <v>741800</v>
      </c>
      <c r="R177" s="170">
        <f>220000+33900+117800+1700+204480+100000+204840+248920+10160</f>
        <v>1141800</v>
      </c>
      <c r="S177" s="170">
        <f>220000+33900+117800+1700+204480+100000+204840+248920+10160</f>
        <v>1141800</v>
      </c>
      <c r="T177" s="107">
        <f>Q177+P177</f>
        <v>1141800</v>
      </c>
      <c r="U177" s="107">
        <f>S177</f>
        <v>1141800</v>
      </c>
      <c r="V177" s="107">
        <v>0</v>
      </c>
      <c r="W177" s="107">
        <v>1141800</v>
      </c>
      <c r="X177" s="110">
        <f>U177</f>
        <v>1141800</v>
      </c>
      <c r="Y177" s="107">
        <v>859356</v>
      </c>
      <c r="Z177" s="107">
        <f t="shared" si="37"/>
        <v>1031227.2</v>
      </c>
      <c r="AA177" s="110">
        <v>1031640</v>
      </c>
      <c r="AB177" s="110">
        <v>669063</v>
      </c>
      <c r="AC177" s="110">
        <v>803000</v>
      </c>
      <c r="AD177" s="108">
        <f>AC177</f>
        <v>803000</v>
      </c>
      <c r="AE177" s="148"/>
      <c r="AF177" s="148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  <c r="FU177" s="14"/>
      <c r="FV177" s="14"/>
      <c r="FW177" s="14"/>
      <c r="FX177" s="14"/>
      <c r="FY177" s="14"/>
      <c r="FZ177" s="14"/>
      <c r="GA177" s="14"/>
      <c r="GB177" s="14"/>
      <c r="GC177" s="14"/>
      <c r="GD177" s="14"/>
      <c r="GE177" s="14"/>
      <c r="GF177" s="14"/>
      <c r="GG177" s="14"/>
      <c r="GH177" s="14"/>
      <c r="GI177" s="14"/>
      <c r="GJ177" s="14"/>
      <c r="GK177" s="14"/>
      <c r="GL177" s="14"/>
      <c r="GM177" s="14"/>
      <c r="GN177" s="14"/>
      <c r="GO177" s="14"/>
      <c r="GP177" s="14"/>
      <c r="GQ177" s="14"/>
      <c r="GR177" s="14"/>
      <c r="GS177" s="14"/>
      <c r="GT177" s="14"/>
      <c r="GU177" s="14"/>
      <c r="GV177" s="14"/>
      <c r="GW177" s="14"/>
      <c r="GX177" s="14"/>
      <c r="GY177" s="14"/>
      <c r="GZ177" s="14"/>
      <c r="HA177" s="14"/>
      <c r="HB177" s="14"/>
      <c r="HC177" s="14"/>
      <c r="HD177" s="14"/>
      <c r="HE177" s="14"/>
      <c r="HF177" s="14"/>
      <c r="HG177" s="14"/>
      <c r="HH177" s="14"/>
      <c r="HI177" s="14"/>
      <c r="HJ177" s="14"/>
      <c r="HK177" s="14"/>
      <c r="HL177" s="14"/>
      <c r="HM177" s="14"/>
      <c r="HN177" s="14"/>
      <c r="HO177" s="14"/>
      <c r="HP177" s="14"/>
      <c r="HQ177" s="14"/>
      <c r="HR177" s="14"/>
      <c r="HS177" s="14"/>
      <c r="HT177" s="14"/>
      <c r="HU177" s="14"/>
      <c r="HV177" s="14"/>
      <c r="HW177" s="14"/>
      <c r="HX177" s="14"/>
      <c r="HY177" s="14"/>
      <c r="HZ177" s="14"/>
      <c r="IA177" s="14"/>
      <c r="IB177" s="14"/>
      <c r="IC177" s="14"/>
      <c r="ID177" s="14"/>
      <c r="IE177" s="14"/>
      <c r="IF177" s="14"/>
      <c r="IG177" s="14"/>
      <c r="IH177" s="14"/>
      <c r="II177" s="14"/>
      <c r="IJ177" s="14"/>
      <c r="IK177" s="14"/>
      <c r="IL177" s="14"/>
      <c r="IM177" s="14"/>
      <c r="IN177" s="14"/>
      <c r="IO177" s="14"/>
      <c r="IP177" s="14"/>
      <c r="IQ177" s="14"/>
      <c r="IR177" s="14"/>
      <c r="IS177" s="14"/>
      <c r="IT177" s="14"/>
      <c r="IU177" s="14"/>
      <c r="IV177" s="14"/>
    </row>
    <row r="178" spans="2:256" ht="30" customHeight="1" x14ac:dyDescent="0.25">
      <c r="B178" s="14"/>
      <c r="C178" s="140">
        <v>344600.99</v>
      </c>
      <c r="D178" s="144" t="s">
        <v>413</v>
      </c>
      <c r="E178" s="105">
        <v>0</v>
      </c>
      <c r="F178" s="105"/>
      <c r="G178" s="105">
        <v>0</v>
      </c>
      <c r="H178" s="105">
        <v>135000</v>
      </c>
      <c r="I178" s="104"/>
      <c r="J178" s="154"/>
      <c r="K178" s="170">
        <v>135000</v>
      </c>
      <c r="L178" s="161">
        <v>0</v>
      </c>
      <c r="M178" s="107">
        <v>41187</v>
      </c>
      <c r="N178" s="108"/>
      <c r="O178" s="109">
        <f>M178*4/3</f>
        <v>54916</v>
      </c>
      <c r="P178" s="109">
        <v>18000</v>
      </c>
      <c r="Q178" s="109">
        <f>135000-18000</f>
        <v>117000</v>
      </c>
      <c r="R178" s="170">
        <f>87000+36000+12000</f>
        <v>135000</v>
      </c>
      <c r="S178" s="170">
        <f>87000+36000+12000</f>
        <v>135000</v>
      </c>
      <c r="T178" s="107">
        <f>Q178+P178</f>
        <v>135000</v>
      </c>
      <c r="U178" s="107">
        <f>S178</f>
        <v>135000</v>
      </c>
      <c r="V178" s="107">
        <v>81092</v>
      </c>
      <c r="W178" s="107">
        <v>135000</v>
      </c>
      <c r="X178" s="110">
        <f>U178</f>
        <v>135000</v>
      </c>
      <c r="Y178" s="107">
        <v>81092</v>
      </c>
      <c r="Z178" s="107">
        <f t="shared" si="37"/>
        <v>97310.399999999994</v>
      </c>
      <c r="AA178" s="110"/>
      <c r="AB178" s="110">
        <v>31401</v>
      </c>
      <c r="AC178" s="110">
        <v>37600</v>
      </c>
      <c r="AD178" s="108">
        <f>AC178</f>
        <v>37600</v>
      </c>
      <c r="AE178" s="108">
        <v>101000</v>
      </c>
      <c r="AF178" s="108">
        <v>101000</v>
      </c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  <c r="FS178" s="14"/>
      <c r="FT178" s="14"/>
      <c r="FU178" s="14"/>
      <c r="FV178" s="14"/>
      <c r="FW178" s="14"/>
      <c r="FX178" s="14"/>
      <c r="FY178" s="14"/>
      <c r="FZ178" s="14"/>
      <c r="GA178" s="14"/>
      <c r="GB178" s="14"/>
      <c r="GC178" s="14"/>
      <c r="GD178" s="14"/>
      <c r="GE178" s="14"/>
      <c r="GF178" s="14"/>
      <c r="GG178" s="14"/>
      <c r="GH178" s="14"/>
      <c r="GI178" s="14"/>
      <c r="GJ178" s="14"/>
      <c r="GK178" s="14"/>
      <c r="GL178" s="14"/>
      <c r="GM178" s="14"/>
      <c r="GN178" s="14"/>
      <c r="GO178" s="14"/>
      <c r="GP178" s="14"/>
      <c r="GQ178" s="14"/>
      <c r="GR178" s="14"/>
      <c r="GS178" s="14"/>
      <c r="GT178" s="14"/>
      <c r="GU178" s="14"/>
      <c r="GV178" s="14"/>
      <c r="GW178" s="14"/>
      <c r="GX178" s="14"/>
      <c r="GY178" s="14"/>
      <c r="GZ178" s="14"/>
      <c r="HA178" s="14"/>
      <c r="HB178" s="14"/>
      <c r="HC178" s="14"/>
      <c r="HD178" s="14"/>
      <c r="HE178" s="14"/>
      <c r="HF178" s="14"/>
      <c r="HG178" s="14"/>
      <c r="HH178" s="14"/>
      <c r="HI178" s="14"/>
      <c r="HJ178" s="14"/>
      <c r="HK178" s="14"/>
      <c r="HL178" s="14"/>
      <c r="HM178" s="14"/>
      <c r="HN178" s="14"/>
      <c r="HO178" s="14"/>
      <c r="HP178" s="14"/>
      <c r="HQ178" s="14"/>
      <c r="HR178" s="14"/>
      <c r="HS178" s="14"/>
      <c r="HT178" s="14"/>
      <c r="HU178" s="14"/>
      <c r="HV178" s="14"/>
      <c r="HW178" s="14"/>
      <c r="HX178" s="14"/>
      <c r="HY178" s="14"/>
      <c r="HZ178" s="14"/>
      <c r="IA178" s="14"/>
      <c r="IB178" s="14"/>
      <c r="IC178" s="14"/>
      <c r="ID178" s="14"/>
      <c r="IE178" s="14"/>
      <c r="IF178" s="14"/>
      <c r="IG178" s="14"/>
      <c r="IH178" s="14"/>
      <c r="II178" s="14"/>
      <c r="IJ178" s="14"/>
      <c r="IK178" s="14"/>
      <c r="IL178" s="14"/>
      <c r="IM178" s="14"/>
      <c r="IN178" s="14"/>
      <c r="IO178" s="14"/>
      <c r="IP178" s="14"/>
      <c r="IQ178" s="14"/>
      <c r="IR178" s="14"/>
      <c r="IS178" s="14"/>
      <c r="IT178" s="14"/>
      <c r="IU178" s="14"/>
      <c r="IV178" s="14"/>
    </row>
    <row r="179" spans="2:256" ht="30" customHeight="1" x14ac:dyDescent="0.4">
      <c r="B179" s="14"/>
      <c r="C179" s="113"/>
      <c r="D179" s="150" t="s">
        <v>410</v>
      </c>
      <c r="E179" s="171">
        <f>SUM(E176:E178)</f>
        <v>0</v>
      </c>
      <c r="F179" s="171">
        <f>SUM(F176:F178)</f>
        <v>0</v>
      </c>
      <c r="G179" s="171">
        <f>SUM(G176:G178)</f>
        <v>0</v>
      </c>
      <c r="H179" s="171">
        <f>SUM(H176:H178)</f>
        <v>1097080</v>
      </c>
      <c r="I179" s="104">
        <f t="shared" si="58"/>
        <v>1.3333333333333333</v>
      </c>
      <c r="J179" s="154"/>
      <c r="K179" s="172">
        <f t="shared" ref="K179:X179" si="60">SUM(K176:K178)</f>
        <v>1346000</v>
      </c>
      <c r="L179" s="172">
        <f t="shared" si="60"/>
        <v>196175</v>
      </c>
      <c r="M179" s="172">
        <f t="shared" si="60"/>
        <v>530212</v>
      </c>
      <c r="N179" s="172">
        <f t="shared" si="60"/>
        <v>0</v>
      </c>
      <c r="O179" s="173">
        <f t="shared" si="60"/>
        <v>706949.33333333337</v>
      </c>
      <c r="P179" s="173">
        <f>SUM(P176:P178)</f>
        <v>636000</v>
      </c>
      <c r="Q179" s="173">
        <f>SUM(Q176:Q178)</f>
        <v>1294400</v>
      </c>
      <c r="R179" s="172">
        <f>SUM(R176:R178)</f>
        <v>1930400</v>
      </c>
      <c r="S179" s="174">
        <f t="shared" si="60"/>
        <v>1930400</v>
      </c>
      <c r="T179" s="174">
        <f t="shared" si="60"/>
        <v>1930400</v>
      </c>
      <c r="U179" s="174">
        <f t="shared" si="60"/>
        <v>1930400</v>
      </c>
      <c r="V179" s="174">
        <f t="shared" si="60"/>
        <v>194461</v>
      </c>
      <c r="W179" s="174">
        <f t="shared" si="60"/>
        <v>1930400</v>
      </c>
      <c r="X179" s="174">
        <f t="shared" si="60"/>
        <v>1930400</v>
      </c>
      <c r="Y179" s="174">
        <f t="shared" ref="Y179:AF179" si="61">SUM(Y176:Y178)</f>
        <v>1232046</v>
      </c>
      <c r="Z179" s="174">
        <f t="shared" si="61"/>
        <v>1478455.1999999997</v>
      </c>
      <c r="AA179" s="174">
        <f t="shared" si="61"/>
        <v>1131640</v>
      </c>
      <c r="AB179" s="174">
        <f t="shared" si="61"/>
        <v>711904</v>
      </c>
      <c r="AC179" s="174">
        <f t="shared" si="61"/>
        <v>854300</v>
      </c>
      <c r="AD179" s="174">
        <f t="shared" si="61"/>
        <v>854300</v>
      </c>
      <c r="AE179" s="174">
        <f t="shared" si="61"/>
        <v>176500</v>
      </c>
      <c r="AF179" s="174">
        <f t="shared" si="61"/>
        <v>176000</v>
      </c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  <c r="FS179" s="14"/>
      <c r="FT179" s="14"/>
      <c r="FU179" s="14"/>
      <c r="FV179" s="14"/>
      <c r="FW179" s="14"/>
      <c r="FX179" s="14"/>
      <c r="FY179" s="14"/>
      <c r="FZ179" s="14"/>
      <c r="GA179" s="14"/>
      <c r="GB179" s="14"/>
      <c r="GC179" s="14"/>
      <c r="GD179" s="14"/>
      <c r="GE179" s="14"/>
      <c r="GF179" s="14"/>
      <c r="GG179" s="14"/>
      <c r="GH179" s="14"/>
      <c r="GI179" s="14"/>
      <c r="GJ179" s="14"/>
      <c r="GK179" s="14"/>
      <c r="GL179" s="14"/>
      <c r="GM179" s="14"/>
      <c r="GN179" s="14"/>
      <c r="GO179" s="14"/>
      <c r="GP179" s="14"/>
      <c r="GQ179" s="14"/>
      <c r="GR179" s="14"/>
      <c r="GS179" s="14"/>
      <c r="GT179" s="14"/>
      <c r="GU179" s="14"/>
      <c r="GV179" s="14"/>
      <c r="GW179" s="14"/>
      <c r="GX179" s="14"/>
      <c r="GY179" s="14"/>
      <c r="GZ179" s="14"/>
      <c r="HA179" s="14"/>
      <c r="HB179" s="14"/>
      <c r="HC179" s="14"/>
      <c r="HD179" s="14"/>
      <c r="HE179" s="14"/>
      <c r="HF179" s="14"/>
      <c r="HG179" s="14"/>
      <c r="HH179" s="14"/>
      <c r="HI179" s="14"/>
      <c r="HJ179" s="14"/>
      <c r="HK179" s="14"/>
      <c r="HL179" s="14"/>
      <c r="HM179" s="14"/>
      <c r="HN179" s="14"/>
      <c r="HO179" s="14"/>
      <c r="HP179" s="14"/>
      <c r="HQ179" s="14"/>
      <c r="HR179" s="14"/>
      <c r="HS179" s="14"/>
      <c r="HT179" s="14"/>
      <c r="HU179" s="14"/>
      <c r="HV179" s="14"/>
      <c r="HW179" s="14"/>
      <c r="HX179" s="14"/>
      <c r="HY179" s="14"/>
      <c r="HZ179" s="14"/>
      <c r="IA179" s="14"/>
      <c r="IB179" s="14"/>
      <c r="IC179" s="14"/>
      <c r="ID179" s="14"/>
      <c r="IE179" s="14"/>
      <c r="IF179" s="14"/>
      <c r="IG179" s="14"/>
      <c r="IH179" s="14"/>
      <c r="II179" s="14"/>
      <c r="IJ179" s="14"/>
      <c r="IK179" s="14"/>
      <c r="IL179" s="14"/>
      <c r="IM179" s="14"/>
      <c r="IN179" s="14"/>
      <c r="IO179" s="14"/>
      <c r="IP179" s="14"/>
      <c r="IQ179" s="14"/>
      <c r="IR179" s="14"/>
      <c r="IS179" s="14"/>
      <c r="IT179" s="14"/>
      <c r="IU179" s="14"/>
      <c r="IV179" s="14"/>
    </row>
    <row r="180" spans="2:256" ht="30" customHeight="1" x14ac:dyDescent="0.25">
      <c r="B180" s="14">
        <v>1721773</v>
      </c>
      <c r="C180" s="102">
        <v>345100.93</v>
      </c>
      <c r="D180" s="103" t="s">
        <v>316</v>
      </c>
      <c r="E180" s="126">
        <v>2400000</v>
      </c>
      <c r="F180" s="105"/>
      <c r="G180" s="126">
        <v>2675352</v>
      </c>
      <c r="H180" s="126">
        <v>2600000</v>
      </c>
      <c r="I180" s="104">
        <f t="shared" si="58"/>
        <v>1.3333333333333333</v>
      </c>
      <c r="J180" s="154"/>
      <c r="K180" s="107">
        <v>2815000</v>
      </c>
      <c r="L180" s="161">
        <v>2109607</v>
      </c>
      <c r="M180" s="107">
        <v>2098604</v>
      </c>
      <c r="N180" s="108"/>
      <c r="O180" s="109">
        <f>M180*4/3</f>
        <v>2798138.6666666665</v>
      </c>
      <c r="P180" s="109">
        <v>1462000</v>
      </c>
      <c r="Q180" s="109">
        <f>P180/6*6</f>
        <v>1462000</v>
      </c>
      <c r="R180" s="107">
        <v>2800000</v>
      </c>
      <c r="S180" s="107">
        <v>3003000</v>
      </c>
      <c r="T180" s="107">
        <f t="shared" ref="T180:T185" si="62">Q180+P180</f>
        <v>2924000</v>
      </c>
      <c r="U180" s="107">
        <f>S180*1.02</f>
        <v>3063060</v>
      </c>
      <c r="V180" s="107">
        <v>1661694</v>
      </c>
      <c r="W180" s="107">
        <f>V180*2</f>
        <v>3323388</v>
      </c>
      <c r="X180" s="110">
        <f t="shared" ref="X180:X185" si="63">W180</f>
        <v>3323388</v>
      </c>
      <c r="Y180" s="107">
        <v>2814545</v>
      </c>
      <c r="Z180" s="107">
        <f>Y180*12/10</f>
        <v>3377454</v>
      </c>
      <c r="AA180" s="110">
        <v>3325000</v>
      </c>
      <c r="AB180" s="110">
        <v>2855250</v>
      </c>
      <c r="AC180" s="110">
        <f>AB180*12/10</f>
        <v>3426300</v>
      </c>
      <c r="AD180" s="108">
        <f>AC180</f>
        <v>3426300</v>
      </c>
      <c r="AE180" s="107">
        <v>3700000</v>
      </c>
      <c r="AF180" s="107">
        <v>3950000</v>
      </c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  <c r="FU180" s="14"/>
      <c r="FV180" s="14"/>
      <c r="FW180" s="14"/>
      <c r="FX180" s="14"/>
      <c r="FY180" s="14"/>
      <c r="FZ180" s="14"/>
      <c r="GA180" s="14"/>
      <c r="GB180" s="14"/>
      <c r="GC180" s="14"/>
      <c r="GD180" s="14"/>
      <c r="GE180" s="14"/>
      <c r="GF180" s="14"/>
      <c r="GG180" s="14"/>
      <c r="GH180" s="14"/>
      <c r="GI180" s="14"/>
      <c r="GJ180" s="14"/>
      <c r="GK180" s="14"/>
      <c r="GL180" s="14"/>
      <c r="GM180" s="14"/>
      <c r="GN180" s="14"/>
      <c r="GO180" s="14"/>
      <c r="GP180" s="14"/>
      <c r="GQ180" s="14"/>
      <c r="GR180" s="14"/>
      <c r="GS180" s="14"/>
      <c r="GT180" s="14"/>
      <c r="GU180" s="14"/>
      <c r="GV180" s="14"/>
      <c r="GW180" s="14"/>
      <c r="GX180" s="14"/>
      <c r="GY180" s="14"/>
      <c r="GZ180" s="14"/>
      <c r="HA180" s="14"/>
      <c r="HB180" s="14"/>
      <c r="HC180" s="14"/>
      <c r="HD180" s="14"/>
      <c r="HE180" s="14"/>
      <c r="HF180" s="14"/>
      <c r="HG180" s="14"/>
      <c r="HH180" s="14"/>
      <c r="HI180" s="14"/>
      <c r="HJ180" s="14"/>
      <c r="HK180" s="14"/>
      <c r="HL180" s="14"/>
      <c r="HM180" s="14"/>
      <c r="HN180" s="14"/>
      <c r="HO180" s="14"/>
      <c r="HP180" s="14"/>
      <c r="HQ180" s="14"/>
      <c r="HR180" s="14"/>
      <c r="HS180" s="14"/>
      <c r="HT180" s="14"/>
      <c r="HU180" s="14"/>
      <c r="HV180" s="14"/>
      <c r="HW180" s="14"/>
      <c r="HX180" s="14"/>
      <c r="HY180" s="14"/>
      <c r="HZ180" s="14"/>
      <c r="IA180" s="14"/>
      <c r="IB180" s="14"/>
      <c r="IC180" s="14"/>
      <c r="ID180" s="14"/>
      <c r="IE180" s="14"/>
      <c r="IF180" s="14"/>
      <c r="IG180" s="14"/>
      <c r="IH180" s="14"/>
      <c r="II180" s="14"/>
      <c r="IJ180" s="14"/>
      <c r="IK180" s="14"/>
      <c r="IL180" s="14"/>
      <c r="IM180" s="14"/>
      <c r="IN180" s="14"/>
      <c r="IO180" s="14"/>
      <c r="IP180" s="14"/>
      <c r="IQ180" s="14"/>
      <c r="IR180" s="14"/>
      <c r="IS180" s="14"/>
      <c r="IT180" s="14"/>
      <c r="IU180" s="14"/>
      <c r="IV180" s="14"/>
    </row>
    <row r="181" spans="2:256" ht="30" customHeight="1" x14ac:dyDescent="0.25">
      <c r="B181" s="14">
        <v>685187</v>
      </c>
      <c r="C181" s="102">
        <v>345200.93</v>
      </c>
      <c r="D181" s="175" t="s">
        <v>524</v>
      </c>
      <c r="E181" s="126">
        <v>1000000</v>
      </c>
      <c r="F181" s="105"/>
      <c r="G181" s="126">
        <v>972514</v>
      </c>
      <c r="H181" s="126">
        <v>1000000</v>
      </c>
      <c r="I181" s="104">
        <f t="shared" si="58"/>
        <v>1.3333333333333333</v>
      </c>
      <c r="J181" s="154"/>
      <c r="K181" s="107">
        <v>1089000</v>
      </c>
      <c r="L181" s="161">
        <f>827071-12000</f>
        <v>815071</v>
      </c>
      <c r="M181" s="107">
        <v>894018</v>
      </c>
      <c r="N181" s="108"/>
      <c r="O181" s="109">
        <f>M181*4/3</f>
        <v>1192024</v>
      </c>
      <c r="P181" s="109">
        <v>614000</v>
      </c>
      <c r="Q181" s="109">
        <f>P181/6*6</f>
        <v>614000</v>
      </c>
      <c r="R181" s="107">
        <v>1192000</v>
      </c>
      <c r="S181" s="107">
        <v>1156500</v>
      </c>
      <c r="T181" s="107">
        <f t="shared" si="62"/>
        <v>1228000</v>
      </c>
      <c r="U181" s="107">
        <f>S181*1.02</f>
        <v>1179630</v>
      </c>
      <c r="V181" s="107">
        <v>722263</v>
      </c>
      <c r="W181" s="107">
        <f>V181*2</f>
        <v>1444526</v>
      </c>
      <c r="X181" s="110">
        <f t="shared" si="63"/>
        <v>1444526</v>
      </c>
      <c r="Y181" s="107">
        <v>1162639</v>
      </c>
      <c r="Z181" s="107">
        <f>Y181*12/10</f>
        <v>1395166.8</v>
      </c>
      <c r="AA181" s="110">
        <v>1298000</v>
      </c>
      <c r="AB181" s="110">
        <v>1219277</v>
      </c>
      <c r="AC181" s="110">
        <v>1463000</v>
      </c>
      <c r="AD181" s="108">
        <f>AC181</f>
        <v>1463000</v>
      </c>
      <c r="AE181" s="107">
        <v>1650000</v>
      </c>
      <c r="AF181" s="107">
        <v>1650000</v>
      </c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  <c r="FO181" s="14"/>
      <c r="FP181" s="14"/>
      <c r="FQ181" s="14"/>
      <c r="FR181" s="14"/>
      <c r="FS181" s="14"/>
      <c r="FT181" s="14"/>
      <c r="FU181" s="14"/>
      <c r="FV181" s="14"/>
      <c r="FW181" s="14"/>
      <c r="FX181" s="14"/>
      <c r="FY181" s="14"/>
      <c r="FZ181" s="14"/>
      <c r="GA181" s="14"/>
      <c r="GB181" s="14"/>
      <c r="GC181" s="14"/>
      <c r="GD181" s="14"/>
      <c r="GE181" s="14"/>
      <c r="GF181" s="14"/>
      <c r="GG181" s="14"/>
      <c r="GH181" s="14"/>
      <c r="GI181" s="14"/>
      <c r="GJ181" s="14"/>
      <c r="GK181" s="14"/>
      <c r="GL181" s="14"/>
      <c r="GM181" s="14"/>
      <c r="GN181" s="14"/>
      <c r="GO181" s="14"/>
      <c r="GP181" s="14"/>
      <c r="GQ181" s="14"/>
      <c r="GR181" s="14"/>
      <c r="GS181" s="14"/>
      <c r="GT181" s="14"/>
      <c r="GU181" s="14"/>
      <c r="GV181" s="14"/>
      <c r="GW181" s="14"/>
      <c r="GX181" s="14"/>
      <c r="GY181" s="14"/>
      <c r="GZ181" s="14"/>
      <c r="HA181" s="14"/>
      <c r="HB181" s="14"/>
      <c r="HC181" s="14"/>
      <c r="HD181" s="14"/>
      <c r="HE181" s="14"/>
      <c r="HF181" s="14"/>
      <c r="HG181" s="14"/>
      <c r="HH181" s="14"/>
      <c r="HI181" s="14"/>
      <c r="HJ181" s="14"/>
      <c r="HK181" s="14"/>
      <c r="HL181" s="14"/>
      <c r="HM181" s="14"/>
      <c r="HN181" s="14"/>
      <c r="HO181" s="14"/>
      <c r="HP181" s="14"/>
      <c r="HQ181" s="14"/>
      <c r="HR181" s="14"/>
      <c r="HS181" s="14"/>
      <c r="HT181" s="14"/>
      <c r="HU181" s="14"/>
      <c r="HV181" s="14"/>
      <c r="HW181" s="14"/>
      <c r="HX181" s="14"/>
      <c r="HY181" s="14"/>
      <c r="HZ181" s="14"/>
      <c r="IA181" s="14"/>
      <c r="IB181" s="14"/>
      <c r="IC181" s="14"/>
      <c r="ID181" s="14"/>
      <c r="IE181" s="14"/>
      <c r="IF181" s="14"/>
      <c r="IG181" s="14"/>
      <c r="IH181" s="14"/>
      <c r="II181" s="14"/>
      <c r="IJ181" s="14"/>
      <c r="IK181" s="14"/>
      <c r="IL181" s="14"/>
      <c r="IM181" s="14"/>
      <c r="IN181" s="14"/>
      <c r="IO181" s="14"/>
      <c r="IP181" s="14"/>
      <c r="IQ181" s="14"/>
      <c r="IR181" s="14"/>
      <c r="IS181" s="14"/>
      <c r="IT181" s="14"/>
      <c r="IU181" s="14"/>
      <c r="IV181" s="14"/>
    </row>
    <row r="182" spans="2:256" ht="30" customHeight="1" x14ac:dyDescent="0.25">
      <c r="B182" s="14">
        <v>32360</v>
      </c>
      <c r="C182" s="143">
        <v>345200.99200000003</v>
      </c>
      <c r="D182" s="144" t="s">
        <v>343</v>
      </c>
      <c r="E182" s="105">
        <v>300000</v>
      </c>
      <c r="F182" s="105"/>
      <c r="G182" s="126">
        <f>646530-100000</f>
        <v>546530</v>
      </c>
      <c r="H182" s="105">
        <v>400000</v>
      </c>
      <c r="I182" s="104">
        <f t="shared" si="58"/>
        <v>1.3333333333333333</v>
      </c>
      <c r="J182" s="154"/>
      <c r="K182" s="107">
        <v>550000</v>
      </c>
      <c r="L182" s="107">
        <v>408565</v>
      </c>
      <c r="M182" s="107">
        <v>444796</v>
      </c>
      <c r="N182" s="108"/>
      <c r="O182" s="109">
        <f>M182*4/3</f>
        <v>593061.33333333337</v>
      </c>
      <c r="P182" s="109">
        <v>525000</v>
      </c>
      <c r="Q182" s="109">
        <f>P182/6*6</f>
        <v>525000</v>
      </c>
      <c r="R182" s="107">
        <v>593000</v>
      </c>
      <c r="S182" s="107">
        <v>849600</v>
      </c>
      <c r="T182" s="107">
        <f t="shared" si="62"/>
        <v>1050000</v>
      </c>
      <c r="U182" s="107">
        <f>S182*1.02</f>
        <v>866592</v>
      </c>
      <c r="V182" s="107">
        <v>670103</v>
      </c>
      <c r="W182" s="107">
        <f>V182*2</f>
        <v>1340206</v>
      </c>
      <c r="X182" s="110">
        <f t="shared" si="63"/>
        <v>1340206</v>
      </c>
      <c r="Y182" s="107">
        <v>961273</v>
      </c>
      <c r="Z182" s="107">
        <f>Y182*12/10</f>
        <v>1153527.6000000001</v>
      </c>
      <c r="AA182" s="110">
        <v>1150000</v>
      </c>
      <c r="AB182" s="110">
        <v>629453</v>
      </c>
      <c r="AC182" s="110">
        <v>755300</v>
      </c>
      <c r="AD182" s="108">
        <f>AC182</f>
        <v>755300</v>
      </c>
      <c r="AE182" s="107">
        <v>926000</v>
      </c>
      <c r="AF182" s="107">
        <v>926000</v>
      </c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  <c r="FC182" s="16"/>
      <c r="FD182" s="16"/>
      <c r="FE182" s="16"/>
      <c r="FF182" s="16"/>
      <c r="FG182" s="16"/>
      <c r="FH182" s="16"/>
      <c r="FI182" s="16"/>
      <c r="FJ182" s="16"/>
      <c r="FK182" s="16"/>
      <c r="FL182" s="16"/>
      <c r="FM182" s="16"/>
      <c r="FN182" s="16"/>
      <c r="FO182" s="16"/>
      <c r="FP182" s="16"/>
      <c r="FQ182" s="16"/>
      <c r="FR182" s="16"/>
      <c r="FS182" s="16"/>
      <c r="FT182" s="16"/>
      <c r="FU182" s="16"/>
      <c r="FV182" s="16"/>
      <c r="FW182" s="16"/>
      <c r="FX182" s="16"/>
      <c r="FY182" s="16"/>
      <c r="FZ182" s="16"/>
      <c r="GA182" s="16"/>
      <c r="GB182" s="16"/>
      <c r="GC182" s="16"/>
      <c r="GD182" s="16"/>
      <c r="GE182" s="16"/>
      <c r="GF182" s="16"/>
      <c r="GG182" s="16"/>
      <c r="GH182" s="16"/>
      <c r="GI182" s="16"/>
      <c r="GJ182" s="16"/>
      <c r="GK182" s="16"/>
      <c r="GL182" s="16"/>
      <c r="GM182" s="16"/>
      <c r="GN182" s="16"/>
      <c r="GO182" s="16"/>
      <c r="GP182" s="16"/>
      <c r="GQ182" s="16"/>
      <c r="GR182" s="16"/>
      <c r="GS182" s="16"/>
      <c r="GT182" s="16"/>
      <c r="GU182" s="16"/>
      <c r="GV182" s="16"/>
      <c r="GW182" s="16"/>
      <c r="GX182" s="16"/>
      <c r="GY182" s="16"/>
      <c r="GZ182" s="16"/>
      <c r="HA182" s="16"/>
      <c r="HB182" s="16"/>
      <c r="HC182" s="16"/>
      <c r="HD182" s="16"/>
      <c r="HE182" s="16"/>
      <c r="HF182" s="16"/>
      <c r="HG182" s="16"/>
      <c r="HH182" s="16"/>
      <c r="HI182" s="16"/>
      <c r="HJ182" s="16"/>
      <c r="HK182" s="16"/>
      <c r="HL182" s="16"/>
      <c r="HM182" s="16"/>
      <c r="HN182" s="16"/>
      <c r="HO182" s="16"/>
      <c r="HP182" s="16"/>
      <c r="HQ182" s="16"/>
      <c r="HR182" s="16"/>
      <c r="HS182" s="16"/>
      <c r="HT182" s="16"/>
      <c r="HU182" s="16"/>
      <c r="HV182" s="16"/>
      <c r="HW182" s="16"/>
      <c r="HX182" s="16"/>
      <c r="HY182" s="16"/>
      <c r="HZ182" s="16"/>
      <c r="IA182" s="16"/>
      <c r="IB182" s="16"/>
      <c r="IC182" s="16"/>
      <c r="ID182" s="16"/>
      <c r="IE182" s="16"/>
      <c r="IF182" s="16"/>
      <c r="IG182" s="16"/>
      <c r="IH182" s="16"/>
      <c r="II182" s="16"/>
      <c r="IJ182" s="16"/>
      <c r="IK182" s="16"/>
      <c r="IL182" s="16"/>
      <c r="IM182" s="16"/>
      <c r="IN182" s="16"/>
      <c r="IO182" s="16"/>
      <c r="IP182" s="16"/>
      <c r="IQ182" s="16"/>
      <c r="IR182" s="16"/>
      <c r="IS182" s="16"/>
      <c r="IT182" s="16"/>
      <c r="IU182" s="16"/>
      <c r="IV182" s="16"/>
    </row>
    <row r="183" spans="2:256" ht="30" customHeight="1" x14ac:dyDescent="0.25">
      <c r="B183" s="14"/>
      <c r="C183" s="143">
        <v>345201.93</v>
      </c>
      <c r="D183" s="144" t="s">
        <v>712</v>
      </c>
      <c r="E183" s="105"/>
      <c r="F183" s="105"/>
      <c r="G183" s="126"/>
      <c r="H183" s="105"/>
      <c r="I183" s="104"/>
      <c r="J183" s="154"/>
      <c r="K183" s="107"/>
      <c r="L183" s="107"/>
      <c r="M183" s="107"/>
      <c r="N183" s="108"/>
      <c r="O183" s="109"/>
      <c r="P183" s="109"/>
      <c r="Q183" s="109"/>
      <c r="R183" s="107"/>
      <c r="S183" s="107"/>
      <c r="T183" s="107"/>
      <c r="U183" s="145"/>
      <c r="V183" s="107"/>
      <c r="W183" s="107"/>
      <c r="X183" s="110"/>
      <c r="Y183" s="107"/>
      <c r="Z183" s="107"/>
      <c r="AA183" s="110"/>
      <c r="AB183" s="110"/>
      <c r="AC183" s="110"/>
      <c r="AD183" s="108"/>
      <c r="AE183" s="107">
        <v>0</v>
      </c>
      <c r="AF183" s="107">
        <v>52500</v>
      </c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  <c r="FC183" s="16"/>
      <c r="FD183" s="16"/>
      <c r="FE183" s="16"/>
      <c r="FF183" s="16"/>
      <c r="FG183" s="16"/>
      <c r="FH183" s="16"/>
      <c r="FI183" s="16"/>
      <c r="FJ183" s="16"/>
      <c r="FK183" s="16"/>
      <c r="FL183" s="16"/>
      <c r="FM183" s="16"/>
      <c r="FN183" s="16"/>
      <c r="FO183" s="16"/>
      <c r="FP183" s="16"/>
      <c r="FQ183" s="16"/>
      <c r="FR183" s="16"/>
      <c r="FS183" s="16"/>
      <c r="FT183" s="16"/>
      <c r="FU183" s="16"/>
      <c r="FV183" s="16"/>
      <c r="FW183" s="16"/>
      <c r="FX183" s="16"/>
      <c r="FY183" s="16"/>
      <c r="FZ183" s="16"/>
      <c r="GA183" s="16"/>
      <c r="GB183" s="16"/>
      <c r="GC183" s="16"/>
      <c r="GD183" s="16"/>
      <c r="GE183" s="16"/>
      <c r="GF183" s="16"/>
      <c r="GG183" s="16"/>
      <c r="GH183" s="16"/>
      <c r="GI183" s="16"/>
      <c r="GJ183" s="16"/>
      <c r="GK183" s="16"/>
      <c r="GL183" s="16"/>
      <c r="GM183" s="16"/>
      <c r="GN183" s="16"/>
      <c r="GO183" s="16"/>
      <c r="GP183" s="16"/>
      <c r="GQ183" s="16"/>
      <c r="GR183" s="16"/>
      <c r="GS183" s="16"/>
      <c r="GT183" s="16"/>
      <c r="GU183" s="16"/>
      <c r="GV183" s="16"/>
      <c r="GW183" s="16"/>
      <c r="GX183" s="16"/>
      <c r="GY183" s="16"/>
      <c r="GZ183" s="16"/>
      <c r="HA183" s="16"/>
      <c r="HB183" s="16"/>
      <c r="HC183" s="16"/>
      <c r="HD183" s="16"/>
      <c r="HE183" s="16"/>
      <c r="HF183" s="16"/>
      <c r="HG183" s="16"/>
      <c r="HH183" s="16"/>
      <c r="HI183" s="16"/>
      <c r="HJ183" s="16"/>
      <c r="HK183" s="16"/>
      <c r="HL183" s="16"/>
      <c r="HM183" s="16"/>
      <c r="HN183" s="16"/>
      <c r="HO183" s="16"/>
      <c r="HP183" s="16"/>
      <c r="HQ183" s="16"/>
      <c r="HR183" s="16"/>
      <c r="HS183" s="16"/>
      <c r="HT183" s="16"/>
      <c r="HU183" s="16"/>
      <c r="HV183" s="16"/>
      <c r="HW183" s="16"/>
      <c r="HX183" s="16"/>
      <c r="HY183" s="16"/>
      <c r="HZ183" s="16"/>
      <c r="IA183" s="16"/>
      <c r="IB183" s="16"/>
      <c r="IC183" s="16"/>
      <c r="ID183" s="16"/>
      <c r="IE183" s="16"/>
      <c r="IF183" s="16"/>
      <c r="IG183" s="16"/>
      <c r="IH183" s="16"/>
      <c r="II183" s="16"/>
      <c r="IJ183" s="16"/>
      <c r="IK183" s="16"/>
      <c r="IL183" s="16"/>
      <c r="IM183" s="16"/>
      <c r="IN183" s="16"/>
      <c r="IO183" s="16"/>
      <c r="IP183" s="16"/>
      <c r="IQ183" s="16"/>
      <c r="IR183" s="16"/>
      <c r="IS183" s="16"/>
      <c r="IT183" s="16"/>
      <c r="IU183" s="16"/>
      <c r="IV183" s="16"/>
    </row>
    <row r="184" spans="2:256" ht="30" customHeight="1" x14ac:dyDescent="0.25">
      <c r="B184" s="14">
        <v>3651</v>
      </c>
      <c r="C184" s="143">
        <v>345300.22</v>
      </c>
      <c r="D184" s="103" t="s">
        <v>317</v>
      </c>
      <c r="E184" s="126">
        <v>5000</v>
      </c>
      <c r="F184" s="105"/>
      <c r="G184" s="126">
        <v>585</v>
      </c>
      <c r="H184" s="126">
        <v>5000</v>
      </c>
      <c r="I184" s="104">
        <f t="shared" si="58"/>
        <v>1.3333333333333333</v>
      </c>
      <c r="J184" s="154"/>
      <c r="K184" s="107">
        <v>2000</v>
      </c>
      <c r="L184" s="107">
        <v>1212</v>
      </c>
      <c r="M184" s="107">
        <v>150</v>
      </c>
      <c r="N184" s="108"/>
      <c r="O184" s="109">
        <v>2000</v>
      </c>
      <c r="P184" s="109">
        <v>0</v>
      </c>
      <c r="Q184" s="109">
        <v>0</v>
      </c>
      <c r="R184" s="107">
        <v>2000</v>
      </c>
      <c r="S184" s="107">
        <v>2000</v>
      </c>
      <c r="T184" s="107">
        <f t="shared" si="62"/>
        <v>0</v>
      </c>
      <c r="U184" s="107">
        <f>S184</f>
        <v>2000</v>
      </c>
      <c r="V184" s="107">
        <v>451</v>
      </c>
      <c r="W184" s="107">
        <f>V184*2</f>
        <v>902</v>
      </c>
      <c r="X184" s="110">
        <f t="shared" si="63"/>
        <v>902</v>
      </c>
      <c r="Y184" s="107">
        <v>946</v>
      </c>
      <c r="Z184" s="107">
        <f>Y184*12/10</f>
        <v>1135.2</v>
      </c>
      <c r="AA184" s="110"/>
      <c r="AB184" s="110">
        <v>1600</v>
      </c>
      <c r="AC184" s="110">
        <v>2000</v>
      </c>
      <c r="AD184" s="108">
        <f>AC184</f>
        <v>2000</v>
      </c>
      <c r="AE184" s="107">
        <v>0</v>
      </c>
      <c r="AF184" s="107">
        <v>0</v>
      </c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  <c r="CZ184" s="16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  <c r="FC184" s="16"/>
      <c r="FD184" s="16"/>
      <c r="FE184" s="16"/>
      <c r="FF184" s="16"/>
      <c r="FG184" s="16"/>
      <c r="FH184" s="16"/>
      <c r="FI184" s="16"/>
      <c r="FJ184" s="16"/>
      <c r="FK184" s="16"/>
      <c r="FL184" s="16"/>
      <c r="FM184" s="16"/>
      <c r="FN184" s="16"/>
      <c r="FO184" s="16"/>
      <c r="FP184" s="16"/>
      <c r="FQ184" s="16"/>
      <c r="FR184" s="16"/>
      <c r="FS184" s="16"/>
      <c r="FT184" s="16"/>
      <c r="FU184" s="16"/>
      <c r="FV184" s="16"/>
      <c r="FW184" s="16"/>
      <c r="FX184" s="16"/>
      <c r="FY184" s="16"/>
      <c r="FZ184" s="16"/>
      <c r="GA184" s="16"/>
      <c r="GB184" s="16"/>
      <c r="GC184" s="16"/>
      <c r="GD184" s="16"/>
      <c r="GE184" s="16"/>
      <c r="GF184" s="16"/>
      <c r="GG184" s="16"/>
      <c r="GH184" s="16"/>
      <c r="GI184" s="16"/>
      <c r="GJ184" s="16"/>
      <c r="GK184" s="16"/>
      <c r="GL184" s="16"/>
      <c r="GM184" s="16"/>
      <c r="GN184" s="16"/>
      <c r="GO184" s="16"/>
      <c r="GP184" s="16"/>
      <c r="GQ184" s="16"/>
      <c r="GR184" s="16"/>
      <c r="GS184" s="16"/>
      <c r="GT184" s="16"/>
      <c r="GU184" s="16"/>
      <c r="GV184" s="16"/>
      <c r="GW184" s="16"/>
      <c r="GX184" s="16"/>
      <c r="GY184" s="16"/>
      <c r="GZ184" s="16"/>
      <c r="HA184" s="16"/>
      <c r="HB184" s="16"/>
      <c r="HC184" s="16"/>
      <c r="HD184" s="16"/>
      <c r="HE184" s="16"/>
      <c r="HF184" s="16"/>
      <c r="HG184" s="16"/>
      <c r="HH184" s="16"/>
      <c r="HI184" s="16"/>
      <c r="HJ184" s="16"/>
      <c r="HK184" s="16"/>
      <c r="HL184" s="16"/>
      <c r="HM184" s="16"/>
      <c r="HN184" s="16"/>
      <c r="HO184" s="16"/>
      <c r="HP184" s="16"/>
      <c r="HQ184" s="16"/>
      <c r="HR184" s="16"/>
      <c r="HS184" s="16"/>
      <c r="HT184" s="16"/>
      <c r="HU184" s="16"/>
      <c r="HV184" s="16"/>
      <c r="HW184" s="16"/>
      <c r="HX184" s="16"/>
      <c r="HY184" s="16"/>
      <c r="HZ184" s="16"/>
      <c r="IA184" s="16"/>
      <c r="IB184" s="16"/>
      <c r="IC184" s="16"/>
      <c r="ID184" s="16"/>
      <c r="IE184" s="16"/>
      <c r="IF184" s="16"/>
      <c r="IG184" s="16"/>
      <c r="IH184" s="16"/>
      <c r="II184" s="16"/>
      <c r="IJ184" s="16"/>
      <c r="IK184" s="16"/>
      <c r="IL184" s="16"/>
      <c r="IM184" s="16"/>
      <c r="IN184" s="16"/>
      <c r="IO184" s="16"/>
      <c r="IP184" s="16"/>
      <c r="IQ184" s="16"/>
      <c r="IR184" s="16"/>
      <c r="IS184" s="16"/>
      <c r="IT184" s="16"/>
      <c r="IU184" s="16"/>
      <c r="IV184" s="16"/>
    </row>
    <row r="185" spans="2:256" ht="30" customHeight="1" x14ac:dyDescent="0.25">
      <c r="B185" s="14">
        <v>5716</v>
      </c>
      <c r="C185" s="102">
        <v>345300.93</v>
      </c>
      <c r="D185" s="103" t="s">
        <v>318</v>
      </c>
      <c r="E185" s="126">
        <v>8000</v>
      </c>
      <c r="F185" s="105"/>
      <c r="G185" s="126">
        <v>23289</v>
      </c>
      <c r="H185" s="126">
        <v>20000</v>
      </c>
      <c r="I185" s="104">
        <f t="shared" si="58"/>
        <v>1.3333333333333333</v>
      </c>
      <c r="J185" s="154"/>
      <c r="K185" s="107">
        <v>25000</v>
      </c>
      <c r="L185" s="107">
        <v>16227</v>
      </c>
      <c r="M185" s="107">
        <v>3890</v>
      </c>
      <c r="N185" s="108"/>
      <c r="O185" s="109">
        <f>M185*4/3</f>
        <v>5186.666666666667</v>
      </c>
      <c r="P185" s="109">
        <v>6460</v>
      </c>
      <c r="Q185" s="109">
        <v>6460</v>
      </c>
      <c r="R185" s="107">
        <v>25000</v>
      </c>
      <c r="S185" s="107">
        <v>25000</v>
      </c>
      <c r="T185" s="107">
        <f t="shared" si="62"/>
        <v>12920</v>
      </c>
      <c r="U185" s="107">
        <v>40000</v>
      </c>
      <c r="V185" s="107">
        <v>20249</v>
      </c>
      <c r="W185" s="107">
        <f>V185*2</f>
        <v>40498</v>
      </c>
      <c r="X185" s="110">
        <f t="shared" si="63"/>
        <v>40498</v>
      </c>
      <c r="Y185" s="107">
        <v>35163</v>
      </c>
      <c r="Z185" s="107">
        <f>Y185*12/10</f>
        <v>42195.6</v>
      </c>
      <c r="AA185" s="110">
        <v>60000</v>
      </c>
      <c r="AB185" s="110">
        <v>102734</v>
      </c>
      <c r="AC185" s="110">
        <v>123000</v>
      </c>
      <c r="AD185" s="108">
        <f>AC185</f>
        <v>123000</v>
      </c>
      <c r="AE185" s="107">
        <v>107000</v>
      </c>
      <c r="AF185" s="107">
        <v>107000</v>
      </c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  <c r="CX185" s="16"/>
      <c r="CY185" s="16"/>
      <c r="CZ185" s="16"/>
      <c r="DA185" s="16"/>
      <c r="DB185" s="16"/>
      <c r="DC185" s="16"/>
      <c r="DD185" s="16"/>
      <c r="DE185" s="16"/>
      <c r="DF185" s="16"/>
      <c r="DG185" s="16"/>
      <c r="DH185" s="16"/>
      <c r="DI185" s="16"/>
      <c r="DJ185" s="16"/>
      <c r="DK185" s="16"/>
      <c r="DL185" s="16"/>
      <c r="DM185" s="16"/>
      <c r="DN185" s="16"/>
      <c r="DO185" s="16"/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  <c r="FC185" s="16"/>
      <c r="FD185" s="16"/>
      <c r="FE185" s="16"/>
      <c r="FF185" s="16"/>
      <c r="FG185" s="16"/>
      <c r="FH185" s="16"/>
      <c r="FI185" s="16"/>
      <c r="FJ185" s="16"/>
      <c r="FK185" s="16"/>
      <c r="FL185" s="16"/>
      <c r="FM185" s="16"/>
      <c r="FN185" s="16"/>
      <c r="FO185" s="16"/>
      <c r="FP185" s="16"/>
      <c r="FQ185" s="16"/>
      <c r="FR185" s="16"/>
      <c r="FS185" s="16"/>
      <c r="FT185" s="16"/>
      <c r="FU185" s="16"/>
      <c r="FV185" s="16"/>
      <c r="FW185" s="16"/>
      <c r="FX185" s="16"/>
      <c r="FY185" s="16"/>
      <c r="FZ185" s="16"/>
      <c r="GA185" s="16"/>
      <c r="GB185" s="16"/>
      <c r="GC185" s="16"/>
      <c r="GD185" s="16"/>
      <c r="GE185" s="16"/>
      <c r="GF185" s="16"/>
      <c r="GG185" s="16"/>
      <c r="GH185" s="16"/>
      <c r="GI185" s="16"/>
      <c r="GJ185" s="16"/>
      <c r="GK185" s="16"/>
      <c r="GL185" s="16"/>
      <c r="GM185" s="16"/>
      <c r="GN185" s="16"/>
      <c r="GO185" s="16"/>
      <c r="GP185" s="16"/>
      <c r="GQ185" s="16"/>
      <c r="GR185" s="16"/>
      <c r="GS185" s="16"/>
      <c r="GT185" s="16"/>
      <c r="GU185" s="16"/>
      <c r="GV185" s="16"/>
      <c r="GW185" s="16"/>
      <c r="GX185" s="16"/>
      <c r="GY185" s="16"/>
      <c r="GZ185" s="16"/>
      <c r="HA185" s="16"/>
      <c r="HB185" s="16"/>
      <c r="HC185" s="16"/>
      <c r="HD185" s="16"/>
      <c r="HE185" s="16"/>
      <c r="HF185" s="16"/>
      <c r="HG185" s="16"/>
      <c r="HH185" s="16"/>
      <c r="HI185" s="16"/>
      <c r="HJ185" s="16"/>
      <c r="HK185" s="16"/>
      <c r="HL185" s="16"/>
      <c r="HM185" s="16"/>
      <c r="HN185" s="16"/>
      <c r="HO185" s="16"/>
      <c r="HP185" s="16"/>
      <c r="HQ185" s="16"/>
      <c r="HR185" s="16"/>
      <c r="HS185" s="16"/>
      <c r="HT185" s="16"/>
      <c r="HU185" s="16"/>
      <c r="HV185" s="16"/>
      <c r="HW185" s="16"/>
      <c r="HX185" s="16"/>
      <c r="HY185" s="16"/>
      <c r="HZ185" s="16"/>
      <c r="IA185" s="16"/>
      <c r="IB185" s="16"/>
      <c r="IC185" s="16"/>
      <c r="ID185" s="16"/>
      <c r="IE185" s="16"/>
      <c r="IF185" s="16"/>
      <c r="IG185" s="16"/>
      <c r="IH185" s="16"/>
      <c r="II185" s="16"/>
      <c r="IJ185" s="16"/>
      <c r="IK185" s="16"/>
      <c r="IL185" s="16"/>
      <c r="IM185" s="16"/>
      <c r="IN185" s="16"/>
      <c r="IO185" s="16"/>
      <c r="IP185" s="16"/>
      <c r="IQ185" s="16"/>
      <c r="IR185" s="16"/>
      <c r="IS185" s="16"/>
      <c r="IT185" s="16"/>
      <c r="IU185" s="16"/>
      <c r="IV185" s="16"/>
    </row>
    <row r="186" spans="2:256" ht="30" customHeight="1" x14ac:dyDescent="0.25">
      <c r="B186" s="14"/>
      <c r="C186" s="102">
        <v>345300.93099999998</v>
      </c>
      <c r="D186" s="103" t="s">
        <v>713</v>
      </c>
      <c r="E186" s="126"/>
      <c r="F186" s="105"/>
      <c r="G186" s="126"/>
      <c r="H186" s="126"/>
      <c r="I186" s="104"/>
      <c r="J186" s="154"/>
      <c r="K186" s="107"/>
      <c r="L186" s="107"/>
      <c r="M186" s="107"/>
      <c r="N186" s="108"/>
      <c r="O186" s="109"/>
      <c r="P186" s="109"/>
      <c r="Q186" s="109"/>
      <c r="R186" s="107"/>
      <c r="S186" s="107"/>
      <c r="T186" s="107"/>
      <c r="U186" s="107"/>
      <c r="V186" s="107"/>
      <c r="W186" s="107"/>
      <c r="X186" s="110"/>
      <c r="Y186" s="107"/>
      <c r="Z186" s="107"/>
      <c r="AA186" s="110"/>
      <c r="AB186" s="110"/>
      <c r="AC186" s="110"/>
      <c r="AD186" s="108"/>
      <c r="AE186" s="107"/>
      <c r="AF186" s="107">
        <v>123000</v>
      </c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G186" s="16"/>
      <c r="FH186" s="16"/>
      <c r="FI186" s="16"/>
      <c r="FJ186" s="16"/>
      <c r="FK186" s="16"/>
      <c r="FL186" s="16"/>
      <c r="FM186" s="16"/>
      <c r="FN186" s="16"/>
      <c r="FO186" s="16"/>
      <c r="FP186" s="16"/>
      <c r="FQ186" s="16"/>
      <c r="FR186" s="16"/>
      <c r="FS186" s="16"/>
      <c r="FT186" s="16"/>
      <c r="FU186" s="16"/>
      <c r="FV186" s="16"/>
      <c r="FW186" s="16"/>
      <c r="FX186" s="16"/>
      <c r="FY186" s="16"/>
      <c r="FZ186" s="16"/>
      <c r="GA186" s="16"/>
      <c r="GB186" s="16"/>
      <c r="GC186" s="16"/>
      <c r="GD186" s="16"/>
      <c r="GE186" s="16"/>
      <c r="GF186" s="16"/>
      <c r="GG186" s="16"/>
      <c r="GH186" s="16"/>
      <c r="GI186" s="16"/>
      <c r="GJ186" s="16"/>
      <c r="GK186" s="16"/>
      <c r="GL186" s="16"/>
      <c r="GM186" s="16"/>
      <c r="GN186" s="16"/>
      <c r="GO186" s="16"/>
      <c r="GP186" s="16"/>
      <c r="GQ186" s="16"/>
      <c r="GR186" s="16"/>
      <c r="GS186" s="16"/>
      <c r="GT186" s="16"/>
      <c r="GU186" s="16"/>
      <c r="GV186" s="16"/>
      <c r="GW186" s="16"/>
      <c r="GX186" s="16"/>
      <c r="GY186" s="16"/>
      <c r="GZ186" s="16"/>
      <c r="HA186" s="16"/>
      <c r="HB186" s="16"/>
      <c r="HC186" s="16"/>
      <c r="HD186" s="16"/>
      <c r="HE186" s="16"/>
      <c r="HF186" s="16"/>
      <c r="HG186" s="16"/>
      <c r="HH186" s="16"/>
      <c r="HI186" s="16"/>
      <c r="HJ186" s="16"/>
      <c r="HK186" s="16"/>
      <c r="HL186" s="16"/>
      <c r="HM186" s="16"/>
      <c r="HN186" s="16"/>
      <c r="HO186" s="16"/>
      <c r="HP186" s="16"/>
      <c r="HQ186" s="16"/>
      <c r="HR186" s="16"/>
      <c r="HS186" s="16"/>
      <c r="HT186" s="16"/>
      <c r="HU186" s="16"/>
      <c r="HV186" s="16"/>
      <c r="HW186" s="16"/>
      <c r="HX186" s="16"/>
      <c r="HY186" s="16"/>
      <c r="HZ186" s="16"/>
      <c r="IA186" s="16"/>
      <c r="IB186" s="16"/>
      <c r="IC186" s="16"/>
      <c r="ID186" s="16"/>
      <c r="IE186" s="16"/>
      <c r="IF186" s="16"/>
      <c r="IG186" s="16"/>
      <c r="IH186" s="16"/>
      <c r="II186" s="16"/>
      <c r="IJ186" s="16"/>
      <c r="IK186" s="16"/>
      <c r="IL186" s="16"/>
      <c r="IM186" s="16"/>
      <c r="IN186" s="16"/>
      <c r="IO186" s="16"/>
      <c r="IP186" s="16"/>
      <c r="IQ186" s="16"/>
      <c r="IR186" s="16"/>
      <c r="IS186" s="16"/>
      <c r="IT186" s="16"/>
      <c r="IU186" s="16"/>
      <c r="IV186" s="16"/>
    </row>
    <row r="187" spans="2:256" ht="30" customHeight="1" x14ac:dyDescent="0.25">
      <c r="B187" s="14"/>
      <c r="C187" s="113" t="s">
        <v>281</v>
      </c>
      <c r="D187" s="150"/>
      <c r="E187" s="115">
        <f>SUM(E180:E185)</f>
        <v>3713000</v>
      </c>
      <c r="F187" s="115">
        <f>SUM(F180:F185)</f>
        <v>0</v>
      </c>
      <c r="G187" s="115">
        <f>SUM(G180:G185)</f>
        <v>4218270</v>
      </c>
      <c r="H187" s="115">
        <f>SUM(H180:H185)</f>
        <v>4025000</v>
      </c>
      <c r="I187" s="104">
        <f t="shared" si="58"/>
        <v>1.3333333333333333</v>
      </c>
      <c r="J187" s="154"/>
      <c r="K187" s="117">
        <f t="shared" ref="K187:X187" si="64">SUM(K180:K185)</f>
        <v>4481000</v>
      </c>
      <c r="L187" s="117">
        <f t="shared" si="64"/>
        <v>3350682</v>
      </c>
      <c r="M187" s="117">
        <f t="shared" si="64"/>
        <v>3441458</v>
      </c>
      <c r="N187" s="117">
        <f t="shared" si="64"/>
        <v>0</v>
      </c>
      <c r="O187" s="118">
        <f t="shared" si="64"/>
        <v>4590410.666666667</v>
      </c>
      <c r="P187" s="118">
        <f>SUM(P180:P185)</f>
        <v>2607460</v>
      </c>
      <c r="Q187" s="118">
        <f>SUM(Q180:Q185)</f>
        <v>2607460</v>
      </c>
      <c r="R187" s="117">
        <f>SUM(R180:R185)</f>
        <v>4612000</v>
      </c>
      <c r="S187" s="117">
        <f t="shared" si="64"/>
        <v>5036100</v>
      </c>
      <c r="T187" s="117">
        <f t="shared" si="64"/>
        <v>5214920</v>
      </c>
      <c r="U187" s="117">
        <f t="shared" si="64"/>
        <v>5151282</v>
      </c>
      <c r="V187" s="117">
        <f t="shared" si="64"/>
        <v>3074760</v>
      </c>
      <c r="W187" s="117">
        <f t="shared" si="64"/>
        <v>6149520</v>
      </c>
      <c r="X187" s="117">
        <f t="shared" si="64"/>
        <v>6149520</v>
      </c>
      <c r="Y187" s="117">
        <f>SUM(Y180:Y185)</f>
        <v>4974566</v>
      </c>
      <c r="Z187" s="117">
        <f>SUM(Z180:Z185)</f>
        <v>5969479.2000000002</v>
      </c>
      <c r="AA187" s="117">
        <f>SUM(AA180:AA185)</f>
        <v>5833000</v>
      </c>
      <c r="AB187" s="117">
        <f>SUM(AB180:AB185)</f>
        <v>4808314</v>
      </c>
      <c r="AC187" s="117">
        <f>SUM(AC180:AC185)</f>
        <v>5769600</v>
      </c>
      <c r="AD187" s="117">
        <f>SUM(AD180:AD186)</f>
        <v>5769600</v>
      </c>
      <c r="AE187" s="117">
        <f>SUM(AE180:AE186)</f>
        <v>6383000</v>
      </c>
      <c r="AF187" s="117">
        <f>SUM(AF180:AF186)</f>
        <v>6808500</v>
      </c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  <c r="FC187" s="16"/>
      <c r="FD187" s="16"/>
      <c r="FE187" s="16"/>
      <c r="FF187" s="16"/>
      <c r="FG187" s="16"/>
      <c r="FH187" s="16"/>
      <c r="FI187" s="16"/>
      <c r="FJ187" s="16"/>
      <c r="FK187" s="16"/>
      <c r="FL187" s="16"/>
      <c r="FM187" s="16"/>
      <c r="FN187" s="16"/>
      <c r="FO187" s="16"/>
      <c r="FP187" s="16"/>
      <c r="FQ187" s="16"/>
      <c r="FR187" s="16"/>
      <c r="FS187" s="16"/>
      <c r="FT187" s="16"/>
      <c r="FU187" s="16"/>
      <c r="FV187" s="16"/>
      <c r="FW187" s="16"/>
      <c r="FX187" s="16"/>
      <c r="FY187" s="16"/>
      <c r="FZ187" s="16"/>
      <c r="GA187" s="16"/>
      <c r="GB187" s="16"/>
      <c r="GC187" s="16"/>
      <c r="GD187" s="16"/>
      <c r="GE187" s="16"/>
      <c r="GF187" s="16"/>
      <c r="GG187" s="16"/>
      <c r="GH187" s="16"/>
      <c r="GI187" s="16"/>
      <c r="GJ187" s="16"/>
      <c r="GK187" s="16"/>
      <c r="GL187" s="16"/>
      <c r="GM187" s="16"/>
      <c r="GN187" s="16"/>
      <c r="GO187" s="16"/>
      <c r="GP187" s="16"/>
      <c r="GQ187" s="16"/>
      <c r="GR187" s="16"/>
      <c r="GS187" s="16"/>
      <c r="GT187" s="16"/>
      <c r="GU187" s="16"/>
      <c r="GV187" s="16"/>
      <c r="GW187" s="16"/>
      <c r="GX187" s="16"/>
      <c r="GY187" s="16"/>
      <c r="GZ187" s="16"/>
      <c r="HA187" s="16"/>
      <c r="HB187" s="16"/>
      <c r="HC187" s="16"/>
      <c r="HD187" s="16"/>
      <c r="HE187" s="16"/>
      <c r="HF187" s="16"/>
      <c r="HG187" s="16"/>
      <c r="HH187" s="16"/>
      <c r="HI187" s="16"/>
      <c r="HJ187" s="16"/>
      <c r="HK187" s="16"/>
      <c r="HL187" s="16"/>
      <c r="HM187" s="16"/>
      <c r="HN187" s="16"/>
      <c r="HO187" s="16"/>
      <c r="HP187" s="16"/>
      <c r="HQ187" s="16"/>
      <c r="HR187" s="16"/>
      <c r="HS187" s="16"/>
      <c r="HT187" s="16"/>
      <c r="HU187" s="16"/>
      <c r="HV187" s="16"/>
      <c r="HW187" s="16"/>
      <c r="HX187" s="16"/>
      <c r="HY187" s="16"/>
      <c r="HZ187" s="16"/>
      <c r="IA187" s="16"/>
      <c r="IB187" s="16"/>
      <c r="IC187" s="16"/>
      <c r="ID187" s="16"/>
      <c r="IE187" s="16"/>
      <c r="IF187" s="16"/>
      <c r="IG187" s="16"/>
      <c r="IH187" s="16"/>
      <c r="II187" s="16"/>
      <c r="IJ187" s="16"/>
      <c r="IK187" s="16"/>
      <c r="IL187" s="16"/>
      <c r="IM187" s="16"/>
      <c r="IN187" s="16"/>
      <c r="IO187" s="16"/>
      <c r="IP187" s="16"/>
      <c r="IQ187" s="16"/>
      <c r="IR187" s="16"/>
      <c r="IS187" s="16"/>
      <c r="IT187" s="16"/>
      <c r="IU187" s="16"/>
      <c r="IV187" s="16"/>
    </row>
    <row r="188" spans="2:256" ht="30" customHeight="1" x14ac:dyDescent="0.25">
      <c r="B188" s="14"/>
      <c r="C188" s="129"/>
      <c r="D188" s="103"/>
      <c r="E188" s="104"/>
      <c r="F188" s="105"/>
      <c r="G188" s="126"/>
      <c r="H188" s="104"/>
      <c r="I188" s="104">
        <f t="shared" si="58"/>
        <v>1.3333333333333333</v>
      </c>
      <c r="J188" s="154"/>
      <c r="K188" s="107"/>
      <c r="L188" s="107"/>
      <c r="M188" s="107"/>
      <c r="N188" s="108"/>
      <c r="O188" s="109"/>
      <c r="P188" s="109"/>
      <c r="Q188" s="109"/>
      <c r="R188" s="107"/>
      <c r="S188" s="107"/>
      <c r="T188" s="107"/>
      <c r="U188" s="107"/>
      <c r="V188" s="107"/>
      <c r="W188" s="107"/>
      <c r="X188" s="110"/>
      <c r="Y188" s="107"/>
      <c r="Z188" s="107">
        <f>Y188*12/10</f>
        <v>0</v>
      </c>
      <c r="AA188" s="110"/>
      <c r="AB188" s="110"/>
      <c r="AC188" s="110"/>
      <c r="AD188" s="110"/>
      <c r="AE188" s="107"/>
      <c r="AF188" s="107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16"/>
      <c r="CZ188" s="16"/>
      <c r="DA188" s="16"/>
      <c r="DB188" s="16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  <c r="FC188" s="16"/>
      <c r="FD188" s="16"/>
      <c r="FE188" s="16"/>
      <c r="FF188" s="16"/>
      <c r="FG188" s="16"/>
      <c r="FH188" s="16"/>
      <c r="FI188" s="16"/>
      <c r="FJ188" s="16"/>
      <c r="FK188" s="16"/>
      <c r="FL188" s="16"/>
      <c r="FM188" s="16"/>
      <c r="FN188" s="16"/>
      <c r="FO188" s="16"/>
      <c r="FP188" s="16"/>
      <c r="FQ188" s="16"/>
      <c r="FR188" s="16"/>
      <c r="FS188" s="16"/>
      <c r="FT188" s="16"/>
      <c r="FU188" s="16"/>
      <c r="FV188" s="16"/>
      <c r="FW188" s="16"/>
      <c r="FX188" s="16"/>
      <c r="FY188" s="16"/>
      <c r="FZ188" s="16"/>
      <c r="GA188" s="16"/>
      <c r="GB188" s="16"/>
      <c r="GC188" s="16"/>
      <c r="GD188" s="16"/>
      <c r="GE188" s="16"/>
      <c r="GF188" s="16"/>
      <c r="GG188" s="16"/>
      <c r="GH188" s="16"/>
      <c r="GI188" s="16"/>
      <c r="GJ188" s="16"/>
      <c r="GK188" s="16"/>
      <c r="GL188" s="16"/>
      <c r="GM188" s="16"/>
      <c r="GN188" s="16"/>
      <c r="GO188" s="16"/>
      <c r="GP188" s="16"/>
      <c r="GQ188" s="16"/>
      <c r="GR188" s="16"/>
      <c r="GS188" s="16"/>
      <c r="GT188" s="16"/>
      <c r="GU188" s="16"/>
      <c r="GV188" s="16"/>
      <c r="GW188" s="16"/>
      <c r="GX188" s="16"/>
      <c r="GY188" s="16"/>
      <c r="GZ188" s="16"/>
      <c r="HA188" s="16"/>
      <c r="HB188" s="16"/>
      <c r="HC188" s="16"/>
      <c r="HD188" s="16"/>
      <c r="HE188" s="16"/>
      <c r="HF188" s="16"/>
      <c r="HG188" s="16"/>
      <c r="HH188" s="16"/>
      <c r="HI188" s="16"/>
      <c r="HJ188" s="16"/>
      <c r="HK188" s="16"/>
      <c r="HL188" s="16"/>
      <c r="HM188" s="16"/>
      <c r="HN188" s="16"/>
      <c r="HO188" s="16"/>
      <c r="HP188" s="16"/>
      <c r="HQ188" s="16"/>
      <c r="HR188" s="16"/>
      <c r="HS188" s="16"/>
      <c r="HT188" s="16"/>
      <c r="HU188" s="16"/>
      <c r="HV188" s="16"/>
      <c r="HW188" s="16"/>
      <c r="HX188" s="16"/>
      <c r="HY188" s="16"/>
      <c r="HZ188" s="16"/>
      <c r="IA188" s="16"/>
      <c r="IB188" s="16"/>
      <c r="IC188" s="16"/>
      <c r="ID188" s="16"/>
      <c r="IE188" s="16"/>
      <c r="IF188" s="16"/>
      <c r="IG188" s="16"/>
      <c r="IH188" s="16"/>
      <c r="II188" s="16"/>
      <c r="IJ188" s="16"/>
      <c r="IK188" s="16"/>
      <c r="IL188" s="16"/>
      <c r="IM188" s="16"/>
      <c r="IN188" s="16"/>
      <c r="IO188" s="16"/>
      <c r="IP188" s="16"/>
      <c r="IQ188" s="16"/>
      <c r="IR188" s="16"/>
      <c r="IS188" s="16"/>
      <c r="IT188" s="16"/>
      <c r="IU188" s="16"/>
      <c r="IV188" s="16"/>
    </row>
    <row r="189" spans="2:256" ht="30" customHeight="1" x14ac:dyDescent="0.25">
      <c r="B189" s="14">
        <v>105900</v>
      </c>
      <c r="C189" s="102">
        <v>346300.93</v>
      </c>
      <c r="D189" s="103" t="s">
        <v>319</v>
      </c>
      <c r="E189" s="126">
        <v>140000</v>
      </c>
      <c r="F189" s="105"/>
      <c r="G189" s="126">
        <v>8330</v>
      </c>
      <c r="H189" s="126">
        <v>35000</v>
      </c>
      <c r="I189" s="104">
        <f t="shared" si="58"/>
        <v>1.3333333333333333</v>
      </c>
      <c r="J189" s="154"/>
      <c r="K189" s="107">
        <v>4000</v>
      </c>
      <c r="L189" s="107">
        <v>2695</v>
      </c>
      <c r="M189" s="107">
        <v>2876</v>
      </c>
      <c r="N189" s="108"/>
      <c r="O189" s="109">
        <f>M189*4/3</f>
        <v>3834.6666666666665</v>
      </c>
      <c r="P189" s="109">
        <v>14530</v>
      </c>
      <c r="Q189" s="109">
        <f>P189*6/6</f>
        <v>14530</v>
      </c>
      <c r="R189" s="107">
        <v>4000</v>
      </c>
      <c r="S189" s="107">
        <v>34500</v>
      </c>
      <c r="T189" s="107">
        <f t="shared" ref="T189:T200" si="65">Q189+P189</f>
        <v>29060</v>
      </c>
      <c r="U189" s="107">
        <v>28000</v>
      </c>
      <c r="V189" s="107">
        <v>14078</v>
      </c>
      <c r="W189" s="107">
        <f t="shared" ref="W189:W196" si="66">V189*2</f>
        <v>28156</v>
      </c>
      <c r="X189" s="110">
        <f t="shared" ref="X189:X200" si="67">W189</f>
        <v>28156</v>
      </c>
      <c r="Y189" s="107">
        <v>25171</v>
      </c>
      <c r="Z189" s="107">
        <f>Y189*12/10</f>
        <v>30205.200000000001</v>
      </c>
      <c r="AA189" s="110">
        <v>28156</v>
      </c>
      <c r="AB189" s="110">
        <v>12224</v>
      </c>
      <c r="AC189" s="110">
        <v>14700</v>
      </c>
      <c r="AD189" s="108">
        <f t="shared" ref="AD189:AD200" si="68">AC189</f>
        <v>14700</v>
      </c>
      <c r="AE189" s="107">
        <v>5000</v>
      </c>
      <c r="AF189" s="107">
        <v>5000</v>
      </c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  <c r="FC189" s="16"/>
      <c r="FD189" s="16"/>
      <c r="FE189" s="16"/>
      <c r="FF189" s="16"/>
      <c r="FG189" s="16"/>
      <c r="FH189" s="16"/>
      <c r="FI189" s="16"/>
      <c r="FJ189" s="16"/>
      <c r="FK189" s="16"/>
      <c r="FL189" s="16"/>
      <c r="FM189" s="16"/>
      <c r="FN189" s="16"/>
      <c r="FO189" s="16"/>
      <c r="FP189" s="16"/>
      <c r="FQ189" s="16"/>
      <c r="FR189" s="16"/>
      <c r="FS189" s="16"/>
      <c r="FT189" s="16"/>
      <c r="FU189" s="16"/>
      <c r="FV189" s="16"/>
      <c r="FW189" s="16"/>
      <c r="FX189" s="16"/>
      <c r="FY189" s="16"/>
      <c r="FZ189" s="16"/>
      <c r="GA189" s="16"/>
      <c r="GB189" s="16"/>
      <c r="GC189" s="16"/>
      <c r="GD189" s="16"/>
      <c r="GE189" s="16"/>
      <c r="GF189" s="16"/>
      <c r="GG189" s="16"/>
      <c r="GH189" s="16"/>
      <c r="GI189" s="16"/>
      <c r="GJ189" s="16"/>
      <c r="GK189" s="16"/>
      <c r="GL189" s="16"/>
      <c r="GM189" s="16"/>
      <c r="GN189" s="16"/>
      <c r="GO189" s="16"/>
      <c r="GP189" s="16"/>
      <c r="GQ189" s="16"/>
      <c r="GR189" s="16"/>
      <c r="GS189" s="16"/>
      <c r="GT189" s="16"/>
      <c r="GU189" s="16"/>
      <c r="GV189" s="16"/>
      <c r="GW189" s="16"/>
      <c r="GX189" s="16"/>
      <c r="GY189" s="16"/>
      <c r="GZ189" s="16"/>
      <c r="HA189" s="16"/>
      <c r="HB189" s="16"/>
      <c r="HC189" s="16"/>
      <c r="HD189" s="16"/>
      <c r="HE189" s="16"/>
      <c r="HF189" s="16"/>
      <c r="HG189" s="16"/>
      <c r="HH189" s="16"/>
      <c r="HI189" s="16"/>
      <c r="HJ189" s="16"/>
      <c r="HK189" s="16"/>
      <c r="HL189" s="16"/>
      <c r="HM189" s="16"/>
      <c r="HN189" s="16"/>
      <c r="HO189" s="16"/>
      <c r="HP189" s="16"/>
      <c r="HQ189" s="16"/>
      <c r="HR189" s="16"/>
      <c r="HS189" s="16"/>
      <c r="HT189" s="16"/>
      <c r="HU189" s="16"/>
      <c r="HV189" s="16"/>
      <c r="HW189" s="16"/>
      <c r="HX189" s="16"/>
      <c r="HY189" s="16"/>
      <c r="HZ189" s="16"/>
      <c r="IA189" s="16"/>
      <c r="IB189" s="16"/>
      <c r="IC189" s="16"/>
      <c r="ID189" s="16"/>
      <c r="IE189" s="16"/>
      <c r="IF189" s="16"/>
      <c r="IG189" s="16"/>
      <c r="IH189" s="16"/>
      <c r="II189" s="16"/>
      <c r="IJ189" s="16"/>
      <c r="IK189" s="16"/>
      <c r="IL189" s="16"/>
      <c r="IM189" s="16"/>
      <c r="IN189" s="16"/>
      <c r="IO189" s="16"/>
      <c r="IP189" s="16"/>
      <c r="IQ189" s="16"/>
      <c r="IR189" s="16"/>
      <c r="IS189" s="16"/>
      <c r="IT189" s="16"/>
      <c r="IU189" s="16"/>
      <c r="IV189" s="16"/>
    </row>
    <row r="190" spans="2:256" ht="30" customHeight="1" x14ac:dyDescent="0.25">
      <c r="B190" s="14"/>
      <c r="C190" s="102">
        <v>346500.22</v>
      </c>
      <c r="D190" s="103" t="s">
        <v>636</v>
      </c>
      <c r="E190" s="126"/>
      <c r="F190" s="105"/>
      <c r="G190" s="126"/>
      <c r="H190" s="126"/>
      <c r="I190" s="104"/>
      <c r="J190" s="154"/>
      <c r="K190" s="107"/>
      <c r="L190" s="107"/>
      <c r="M190" s="107"/>
      <c r="N190" s="108"/>
      <c r="O190" s="109"/>
      <c r="P190" s="109"/>
      <c r="Q190" s="109"/>
      <c r="R190" s="107"/>
      <c r="S190" s="107"/>
      <c r="T190" s="107"/>
      <c r="U190" s="107"/>
      <c r="V190" s="107"/>
      <c r="W190" s="107"/>
      <c r="X190" s="110"/>
      <c r="Y190" s="107"/>
      <c r="Z190" s="107"/>
      <c r="AA190" s="110"/>
      <c r="AB190" s="110">
        <v>2124</v>
      </c>
      <c r="AC190" s="110">
        <v>2500</v>
      </c>
      <c r="AD190" s="108">
        <f t="shared" si="68"/>
        <v>2500</v>
      </c>
      <c r="AE190" s="107">
        <v>9000</v>
      </c>
      <c r="AF190" s="107">
        <v>9000</v>
      </c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/>
      <c r="FE190" s="16"/>
      <c r="FF190" s="16"/>
      <c r="FG190" s="16"/>
      <c r="FH190" s="16"/>
      <c r="FI190" s="16"/>
      <c r="FJ190" s="16"/>
      <c r="FK190" s="16"/>
      <c r="FL190" s="16"/>
      <c r="FM190" s="16"/>
      <c r="FN190" s="16"/>
      <c r="FO190" s="16"/>
      <c r="FP190" s="16"/>
      <c r="FQ190" s="16"/>
      <c r="FR190" s="16"/>
      <c r="FS190" s="16"/>
      <c r="FT190" s="16"/>
      <c r="FU190" s="16"/>
      <c r="FV190" s="16"/>
      <c r="FW190" s="16"/>
      <c r="FX190" s="16"/>
      <c r="FY190" s="16"/>
      <c r="FZ190" s="16"/>
      <c r="GA190" s="16"/>
      <c r="GB190" s="16"/>
      <c r="GC190" s="16"/>
      <c r="GD190" s="16"/>
      <c r="GE190" s="16"/>
      <c r="GF190" s="16"/>
      <c r="GG190" s="16"/>
      <c r="GH190" s="16"/>
      <c r="GI190" s="16"/>
      <c r="GJ190" s="16"/>
      <c r="GK190" s="16"/>
      <c r="GL190" s="16"/>
      <c r="GM190" s="16"/>
      <c r="GN190" s="16"/>
      <c r="GO190" s="16"/>
      <c r="GP190" s="16"/>
      <c r="GQ190" s="16"/>
      <c r="GR190" s="16"/>
      <c r="GS190" s="16"/>
      <c r="GT190" s="16"/>
      <c r="GU190" s="16"/>
      <c r="GV190" s="16"/>
      <c r="GW190" s="16"/>
      <c r="GX190" s="16"/>
      <c r="GY190" s="16"/>
      <c r="GZ190" s="16"/>
      <c r="HA190" s="16"/>
      <c r="HB190" s="16"/>
      <c r="HC190" s="16"/>
      <c r="HD190" s="16"/>
      <c r="HE190" s="16"/>
      <c r="HF190" s="16"/>
      <c r="HG190" s="16"/>
      <c r="HH190" s="16"/>
      <c r="HI190" s="16"/>
      <c r="HJ190" s="16"/>
      <c r="HK190" s="16"/>
      <c r="HL190" s="16"/>
      <c r="HM190" s="16"/>
      <c r="HN190" s="16"/>
      <c r="HO190" s="16"/>
      <c r="HP190" s="16"/>
      <c r="HQ190" s="16"/>
      <c r="HR190" s="16"/>
      <c r="HS190" s="16"/>
      <c r="HT190" s="16"/>
      <c r="HU190" s="16"/>
      <c r="HV190" s="16"/>
      <c r="HW190" s="16"/>
      <c r="HX190" s="16"/>
      <c r="HY190" s="16"/>
      <c r="HZ190" s="16"/>
      <c r="IA190" s="16"/>
      <c r="IB190" s="16"/>
      <c r="IC190" s="16"/>
      <c r="ID190" s="16"/>
      <c r="IE190" s="16"/>
      <c r="IF190" s="16"/>
      <c r="IG190" s="16"/>
      <c r="IH190" s="16"/>
      <c r="II190" s="16"/>
      <c r="IJ190" s="16"/>
      <c r="IK190" s="16"/>
      <c r="IL190" s="16"/>
      <c r="IM190" s="16"/>
      <c r="IN190" s="16"/>
      <c r="IO190" s="16"/>
      <c r="IP190" s="16"/>
      <c r="IQ190" s="16"/>
      <c r="IR190" s="16"/>
      <c r="IS190" s="16"/>
      <c r="IT190" s="16"/>
      <c r="IU190" s="16"/>
      <c r="IV190" s="16"/>
    </row>
    <row r="191" spans="2:256" ht="30" customHeight="1" x14ac:dyDescent="0.25">
      <c r="B191" s="14"/>
      <c r="C191" s="143">
        <v>346500.93</v>
      </c>
      <c r="D191" s="103" t="s">
        <v>609</v>
      </c>
      <c r="E191" s="126">
        <v>70000</v>
      </c>
      <c r="F191" s="105"/>
      <c r="G191" s="126">
        <v>20000</v>
      </c>
      <c r="H191" s="126">
        <v>30000</v>
      </c>
      <c r="I191" s="104">
        <f t="shared" si="58"/>
        <v>1.3333333333333333</v>
      </c>
      <c r="J191" s="176"/>
      <c r="K191" s="159">
        <v>0</v>
      </c>
      <c r="L191" s="110">
        <v>0</v>
      </c>
      <c r="M191" s="107"/>
      <c r="N191" s="108"/>
      <c r="O191" s="109">
        <f>M191*4/3</f>
        <v>0</v>
      </c>
      <c r="P191" s="109"/>
      <c r="Q191" s="109">
        <f t="shared" ref="Q191:Q200" si="69">P191*6/6</f>
        <v>0</v>
      </c>
      <c r="R191" s="159">
        <v>0</v>
      </c>
      <c r="S191" s="107">
        <f>Q191+P191</f>
        <v>0</v>
      </c>
      <c r="T191" s="107">
        <f t="shared" si="65"/>
        <v>0</v>
      </c>
      <c r="U191" s="107">
        <f>S191</f>
        <v>0</v>
      </c>
      <c r="V191" s="107">
        <v>0</v>
      </c>
      <c r="W191" s="107">
        <f t="shared" si="66"/>
        <v>0</v>
      </c>
      <c r="X191" s="110">
        <f t="shared" si="67"/>
        <v>0</v>
      </c>
      <c r="Y191" s="107">
        <v>16181</v>
      </c>
      <c r="Z191" s="107">
        <f>Y191*12/10</f>
        <v>19417.2</v>
      </c>
      <c r="AA191" s="110">
        <v>33000</v>
      </c>
      <c r="AB191" s="110">
        <v>43228</v>
      </c>
      <c r="AC191" s="110">
        <v>51800</v>
      </c>
      <c r="AD191" s="108">
        <f t="shared" si="68"/>
        <v>51800</v>
      </c>
      <c r="AE191" s="107">
        <v>44000</v>
      </c>
      <c r="AF191" s="107">
        <v>44000</v>
      </c>
      <c r="AG191" s="26"/>
      <c r="AH191" s="26"/>
      <c r="AI191" s="35"/>
      <c r="AJ191" s="25"/>
      <c r="AK191" s="26"/>
      <c r="AL191" s="26"/>
      <c r="AM191" s="35"/>
      <c r="AN191" s="25"/>
      <c r="AO191" s="26"/>
      <c r="AP191" s="35"/>
      <c r="AQ191" s="25"/>
      <c r="AR191" s="26"/>
      <c r="AS191" s="26"/>
      <c r="AT191" s="35"/>
      <c r="AU191" s="25"/>
      <c r="AV191" s="26"/>
      <c r="AW191" s="35"/>
      <c r="AX191" s="26"/>
      <c r="AY191" s="26"/>
      <c r="AZ191" s="35"/>
      <c r="BA191" s="26"/>
      <c r="BB191" s="35"/>
      <c r="BC191" s="25"/>
      <c r="BD191" s="26"/>
      <c r="BE191" s="26"/>
      <c r="BF191" s="35"/>
      <c r="BG191" s="25"/>
      <c r="BH191" s="26"/>
      <c r="BI191" s="26"/>
      <c r="BJ191" s="35"/>
      <c r="BK191" s="25"/>
      <c r="BL191" s="26"/>
      <c r="BM191" s="26"/>
      <c r="BN191" s="35"/>
      <c r="BO191" s="25"/>
      <c r="BP191" s="26"/>
      <c r="BQ191" s="26"/>
      <c r="BR191" s="35"/>
      <c r="BS191" s="25"/>
      <c r="BT191" s="26"/>
      <c r="BU191" s="26"/>
      <c r="BV191" s="35"/>
      <c r="BW191" s="25"/>
      <c r="BX191" s="26"/>
      <c r="BY191" s="26"/>
      <c r="BZ191" s="35"/>
      <c r="CA191" s="25"/>
      <c r="CB191" s="26"/>
      <c r="CC191" s="26"/>
      <c r="CD191" s="35"/>
      <c r="CE191" s="25"/>
      <c r="CF191" s="26"/>
      <c r="CG191" s="26"/>
      <c r="CH191" s="35"/>
      <c r="CI191" s="25"/>
      <c r="CJ191" s="26"/>
      <c r="CK191" s="26"/>
      <c r="CL191" s="35"/>
      <c r="CM191" s="25"/>
      <c r="CN191" s="26"/>
      <c r="CO191" s="26"/>
      <c r="CP191" s="35"/>
      <c r="CQ191" s="25"/>
      <c r="CR191" s="26"/>
      <c r="CS191" s="26"/>
      <c r="CT191" s="35"/>
      <c r="CU191" s="25"/>
      <c r="CV191" s="26"/>
      <c r="CW191" s="26"/>
      <c r="CX191" s="35"/>
      <c r="CY191" s="25"/>
      <c r="CZ191" s="26"/>
      <c r="DA191" s="26"/>
      <c r="DB191" s="35"/>
      <c r="DC191" s="25"/>
      <c r="DD191" s="26"/>
      <c r="DE191" s="26"/>
      <c r="DF191" s="35"/>
      <c r="DG191" s="25"/>
      <c r="DH191" s="26"/>
      <c r="DI191" s="26"/>
      <c r="DJ191" s="35"/>
      <c r="DK191" s="25"/>
      <c r="DL191" s="26"/>
      <c r="DM191" s="26"/>
      <c r="DN191" s="35"/>
      <c r="DO191" s="25"/>
      <c r="DP191" s="26"/>
      <c r="DQ191" s="26"/>
      <c r="DR191" s="35"/>
      <c r="DS191" s="25"/>
      <c r="DT191" s="26"/>
      <c r="DU191" s="26"/>
      <c r="DV191" s="35"/>
      <c r="DW191" s="25"/>
      <c r="DX191" s="26"/>
      <c r="DY191" s="26"/>
      <c r="DZ191" s="35"/>
      <c r="EA191" s="25"/>
      <c r="EB191" s="26"/>
      <c r="EC191" s="26"/>
      <c r="ED191" s="35"/>
      <c r="EE191" s="25"/>
      <c r="EF191" s="26"/>
      <c r="EG191" s="26"/>
      <c r="EH191" s="35"/>
      <c r="EI191" s="25"/>
      <c r="EJ191" s="26"/>
      <c r="EK191" s="26"/>
      <c r="EL191" s="35"/>
      <c r="EM191" s="25"/>
      <c r="EN191" s="26"/>
      <c r="EO191" s="26"/>
      <c r="EP191" s="35"/>
      <c r="EQ191" s="25"/>
      <c r="ER191" s="26"/>
      <c r="ES191" s="26"/>
      <c r="ET191" s="35"/>
      <c r="EU191" s="25"/>
      <c r="EV191" s="26"/>
      <c r="EW191" s="26"/>
      <c r="EX191" s="35"/>
      <c r="EY191" s="25"/>
      <c r="EZ191" s="26"/>
      <c r="FA191" s="26"/>
      <c r="FB191" s="35"/>
      <c r="FC191" s="25"/>
      <c r="FD191" s="26"/>
      <c r="FE191" s="26"/>
      <c r="FF191" s="35"/>
      <c r="FG191" s="25"/>
      <c r="FH191" s="26"/>
      <c r="FI191" s="26"/>
      <c r="FJ191" s="35"/>
      <c r="FK191" s="25"/>
      <c r="FL191" s="26"/>
      <c r="FM191" s="26"/>
      <c r="FN191" s="35"/>
      <c r="FO191" s="25"/>
      <c r="FP191" s="26"/>
      <c r="FQ191" s="26"/>
      <c r="FR191" s="35"/>
      <c r="FS191" s="25"/>
      <c r="FT191" s="26"/>
      <c r="FU191" s="26"/>
      <c r="FV191" s="35"/>
      <c r="FW191" s="25"/>
      <c r="FX191" s="26"/>
      <c r="FY191" s="26"/>
      <c r="FZ191" s="35"/>
      <c r="GA191" s="25"/>
      <c r="GB191" s="26"/>
      <c r="GC191" s="26"/>
      <c r="GD191" s="35"/>
      <c r="GE191" s="25"/>
      <c r="GF191" s="26"/>
      <c r="GG191" s="26"/>
      <c r="GH191" s="35"/>
      <c r="GI191" s="25"/>
      <c r="GJ191" s="26"/>
      <c r="GK191" s="26"/>
      <c r="GL191" s="35"/>
      <c r="GM191" s="25"/>
      <c r="GN191" s="26"/>
      <c r="GO191" s="26"/>
      <c r="GP191" s="35"/>
      <c r="GQ191" s="25"/>
      <c r="GR191" s="26"/>
      <c r="GS191" s="26"/>
      <c r="GT191" s="35"/>
      <c r="GU191" s="25"/>
      <c r="GV191" s="26"/>
      <c r="GW191" s="26"/>
      <c r="GX191" s="35"/>
      <c r="GY191" s="25"/>
      <c r="GZ191" s="26"/>
      <c r="HA191" s="26"/>
      <c r="HB191" s="35"/>
      <c r="HC191" s="25"/>
      <c r="HD191" s="26"/>
      <c r="HE191" s="26"/>
      <c r="HF191" s="35"/>
      <c r="HG191" s="25"/>
      <c r="HH191" s="26"/>
      <c r="HI191" s="26"/>
      <c r="HJ191" s="35"/>
      <c r="HK191" s="25"/>
      <c r="HL191" s="26"/>
      <c r="HM191" s="26"/>
      <c r="HN191" s="35"/>
      <c r="HO191" s="25"/>
      <c r="HP191" s="26"/>
      <c r="HQ191" s="26"/>
      <c r="HR191" s="35"/>
      <c r="HS191" s="25"/>
      <c r="HT191" s="26"/>
      <c r="HU191" s="26"/>
      <c r="HV191" s="35"/>
      <c r="HW191" s="25"/>
      <c r="HX191" s="26"/>
      <c r="HY191" s="26"/>
      <c r="HZ191" s="35"/>
      <c r="IA191" s="25"/>
      <c r="IB191" s="26"/>
      <c r="IC191" s="26"/>
      <c r="ID191" s="35"/>
      <c r="IE191" s="25"/>
      <c r="IF191" s="26"/>
      <c r="IG191" s="26"/>
      <c r="IH191" s="35"/>
      <c r="II191" s="25"/>
      <c r="IJ191" s="26"/>
      <c r="IK191" s="26"/>
      <c r="IL191" s="35"/>
      <c r="IM191" s="25"/>
      <c r="IN191" s="26"/>
      <c r="IO191" s="26"/>
      <c r="IP191" s="35"/>
      <c r="IQ191" s="25"/>
      <c r="IR191" s="26"/>
      <c r="IS191" s="26"/>
      <c r="IT191" s="35"/>
      <c r="IU191" s="25"/>
      <c r="IV191" s="26"/>
    </row>
    <row r="192" spans="2:256" ht="30" customHeight="1" x14ac:dyDescent="0.25">
      <c r="B192" s="14">
        <v>87720</v>
      </c>
      <c r="C192" s="143">
        <v>346600.93</v>
      </c>
      <c r="D192" s="103" t="s">
        <v>320</v>
      </c>
      <c r="E192" s="126">
        <v>110000</v>
      </c>
      <c r="F192" s="105"/>
      <c r="G192" s="126">
        <v>97022</v>
      </c>
      <c r="H192" s="126">
        <v>100000</v>
      </c>
      <c r="I192" s="104">
        <f t="shared" si="58"/>
        <v>1.3333333333333333</v>
      </c>
      <c r="J192" s="176"/>
      <c r="K192" s="107">
        <v>97000</v>
      </c>
      <c r="L192" s="108">
        <v>72600</v>
      </c>
      <c r="M192" s="107">
        <v>67417</v>
      </c>
      <c r="N192" s="108"/>
      <c r="O192" s="109">
        <f>M192*4/3</f>
        <v>89889.333333333328</v>
      </c>
      <c r="P192" s="109">
        <v>41541</v>
      </c>
      <c r="Q192" s="109">
        <f t="shared" si="69"/>
        <v>41541</v>
      </c>
      <c r="R192" s="107">
        <v>97000</v>
      </c>
      <c r="S192" s="107">
        <v>86500</v>
      </c>
      <c r="T192" s="107">
        <f t="shared" si="65"/>
        <v>83082</v>
      </c>
      <c r="U192" s="107">
        <f>S192*1.02</f>
        <v>88230</v>
      </c>
      <c r="V192" s="107">
        <v>45838</v>
      </c>
      <c r="W192" s="107">
        <f t="shared" si="66"/>
        <v>91676</v>
      </c>
      <c r="X192" s="110">
        <f t="shared" si="67"/>
        <v>91676</v>
      </c>
      <c r="Y192" s="107">
        <v>78418</v>
      </c>
      <c r="Z192" s="107">
        <f>Y192*12/10</f>
        <v>94101.6</v>
      </c>
      <c r="AA192" s="110">
        <v>116000</v>
      </c>
      <c r="AB192" s="110">
        <v>203526</v>
      </c>
      <c r="AC192" s="110">
        <v>244200</v>
      </c>
      <c r="AD192" s="108">
        <f t="shared" si="68"/>
        <v>244200</v>
      </c>
      <c r="AE192" s="107">
        <v>1100000</v>
      </c>
      <c r="AF192" s="107">
        <v>1100000</v>
      </c>
      <c r="AG192" s="26"/>
      <c r="AH192" s="26"/>
      <c r="AI192" s="35"/>
      <c r="AJ192" s="25"/>
      <c r="AK192" s="26"/>
      <c r="AL192" s="26"/>
      <c r="AM192" s="35"/>
      <c r="AN192" s="25"/>
      <c r="AO192" s="26"/>
      <c r="AP192" s="35"/>
      <c r="AQ192" s="25"/>
      <c r="AR192" s="26"/>
      <c r="AS192" s="26"/>
      <c r="AT192" s="35"/>
      <c r="AU192" s="25"/>
      <c r="AV192" s="26"/>
      <c r="AW192" s="35"/>
      <c r="AX192" s="26"/>
      <c r="AY192" s="26"/>
      <c r="AZ192" s="35"/>
      <c r="BA192" s="26"/>
      <c r="BB192" s="35"/>
      <c r="BC192" s="25"/>
      <c r="BD192" s="26"/>
      <c r="BE192" s="26"/>
      <c r="BF192" s="35"/>
      <c r="BG192" s="25"/>
      <c r="BH192" s="26"/>
      <c r="BI192" s="26"/>
      <c r="BJ192" s="35"/>
      <c r="BK192" s="25"/>
      <c r="BL192" s="26"/>
      <c r="BM192" s="26"/>
      <c r="BN192" s="35"/>
      <c r="BO192" s="25"/>
      <c r="BP192" s="26"/>
      <c r="BQ192" s="26"/>
      <c r="BR192" s="35"/>
      <c r="BS192" s="25"/>
      <c r="BT192" s="26"/>
      <c r="BU192" s="26"/>
      <c r="BV192" s="35"/>
      <c r="BW192" s="25"/>
      <c r="BX192" s="26"/>
      <c r="BY192" s="26"/>
      <c r="BZ192" s="35"/>
      <c r="CA192" s="25"/>
      <c r="CB192" s="26"/>
      <c r="CC192" s="26"/>
      <c r="CD192" s="35"/>
      <c r="CE192" s="25"/>
      <c r="CF192" s="26"/>
      <c r="CG192" s="26"/>
      <c r="CH192" s="35"/>
      <c r="CI192" s="25"/>
      <c r="CJ192" s="26"/>
      <c r="CK192" s="26"/>
      <c r="CL192" s="35"/>
      <c r="CM192" s="25"/>
      <c r="CN192" s="26"/>
      <c r="CO192" s="26"/>
      <c r="CP192" s="35"/>
      <c r="CQ192" s="25"/>
      <c r="CR192" s="26"/>
      <c r="CS192" s="26"/>
      <c r="CT192" s="35"/>
      <c r="CU192" s="25"/>
      <c r="CV192" s="26"/>
      <c r="CW192" s="26"/>
      <c r="CX192" s="35"/>
      <c r="CY192" s="25"/>
      <c r="CZ192" s="26"/>
      <c r="DA192" s="26"/>
      <c r="DB192" s="35"/>
      <c r="DC192" s="25"/>
      <c r="DD192" s="26"/>
      <c r="DE192" s="26"/>
      <c r="DF192" s="35"/>
      <c r="DG192" s="25"/>
      <c r="DH192" s="26"/>
      <c r="DI192" s="26"/>
      <c r="DJ192" s="35"/>
      <c r="DK192" s="25"/>
      <c r="DL192" s="26"/>
      <c r="DM192" s="26"/>
      <c r="DN192" s="35"/>
      <c r="DO192" s="25"/>
      <c r="DP192" s="26"/>
      <c r="DQ192" s="26"/>
      <c r="DR192" s="35"/>
      <c r="DS192" s="25"/>
      <c r="DT192" s="26"/>
      <c r="DU192" s="26"/>
      <c r="DV192" s="35"/>
      <c r="DW192" s="25"/>
      <c r="DX192" s="26"/>
      <c r="DY192" s="26"/>
      <c r="DZ192" s="35"/>
      <c r="EA192" s="25"/>
      <c r="EB192" s="26"/>
      <c r="EC192" s="26"/>
      <c r="ED192" s="35"/>
      <c r="EE192" s="25"/>
      <c r="EF192" s="26"/>
      <c r="EG192" s="26"/>
      <c r="EH192" s="35"/>
      <c r="EI192" s="25"/>
      <c r="EJ192" s="26"/>
      <c r="EK192" s="26"/>
      <c r="EL192" s="35"/>
      <c r="EM192" s="25"/>
      <c r="EN192" s="26"/>
      <c r="EO192" s="26"/>
      <c r="EP192" s="35"/>
      <c r="EQ192" s="25"/>
      <c r="ER192" s="26"/>
      <c r="ES192" s="26"/>
      <c r="ET192" s="35"/>
      <c r="EU192" s="25"/>
      <c r="EV192" s="26"/>
      <c r="EW192" s="26"/>
      <c r="EX192" s="35"/>
      <c r="EY192" s="25"/>
      <c r="EZ192" s="26"/>
      <c r="FA192" s="26"/>
      <c r="FB192" s="35"/>
      <c r="FC192" s="25"/>
      <c r="FD192" s="26"/>
      <c r="FE192" s="26"/>
      <c r="FF192" s="35"/>
      <c r="FG192" s="25"/>
      <c r="FH192" s="26"/>
      <c r="FI192" s="26"/>
      <c r="FJ192" s="35"/>
      <c r="FK192" s="25"/>
      <c r="FL192" s="26"/>
      <c r="FM192" s="26"/>
      <c r="FN192" s="35"/>
      <c r="FO192" s="25"/>
      <c r="FP192" s="26"/>
      <c r="FQ192" s="26"/>
      <c r="FR192" s="35"/>
      <c r="FS192" s="25"/>
      <c r="FT192" s="26"/>
      <c r="FU192" s="26"/>
      <c r="FV192" s="35"/>
      <c r="FW192" s="25"/>
      <c r="FX192" s="26"/>
      <c r="FY192" s="26"/>
      <c r="FZ192" s="35"/>
      <c r="GA192" s="25"/>
      <c r="GB192" s="26"/>
      <c r="GC192" s="26"/>
      <c r="GD192" s="35"/>
      <c r="GE192" s="25"/>
      <c r="GF192" s="26"/>
      <c r="GG192" s="26"/>
      <c r="GH192" s="35"/>
      <c r="GI192" s="25"/>
      <c r="GJ192" s="26"/>
      <c r="GK192" s="26"/>
      <c r="GL192" s="35"/>
      <c r="GM192" s="25"/>
      <c r="GN192" s="26"/>
      <c r="GO192" s="26"/>
      <c r="GP192" s="35"/>
      <c r="GQ192" s="25"/>
      <c r="GR192" s="26"/>
      <c r="GS192" s="26"/>
      <c r="GT192" s="35"/>
      <c r="GU192" s="25"/>
      <c r="GV192" s="26"/>
      <c r="GW192" s="26"/>
      <c r="GX192" s="35"/>
      <c r="GY192" s="25"/>
      <c r="GZ192" s="26"/>
      <c r="HA192" s="26"/>
      <c r="HB192" s="35"/>
      <c r="HC192" s="25"/>
      <c r="HD192" s="26"/>
      <c r="HE192" s="26"/>
      <c r="HF192" s="35"/>
      <c r="HG192" s="25"/>
      <c r="HH192" s="26"/>
      <c r="HI192" s="26"/>
      <c r="HJ192" s="35"/>
      <c r="HK192" s="25"/>
      <c r="HL192" s="26"/>
      <c r="HM192" s="26"/>
      <c r="HN192" s="35"/>
      <c r="HO192" s="25"/>
      <c r="HP192" s="26"/>
      <c r="HQ192" s="26"/>
      <c r="HR192" s="35"/>
      <c r="HS192" s="25"/>
      <c r="HT192" s="26"/>
      <c r="HU192" s="26"/>
      <c r="HV192" s="35"/>
      <c r="HW192" s="25"/>
      <c r="HX192" s="26"/>
      <c r="HY192" s="26"/>
      <c r="HZ192" s="35"/>
      <c r="IA192" s="25"/>
      <c r="IB192" s="26"/>
      <c r="IC192" s="26"/>
      <c r="ID192" s="35"/>
      <c r="IE192" s="25"/>
      <c r="IF192" s="26"/>
      <c r="IG192" s="26"/>
      <c r="IH192" s="35"/>
      <c r="II192" s="25"/>
      <c r="IJ192" s="26"/>
      <c r="IK192" s="26"/>
      <c r="IL192" s="35"/>
      <c r="IM192" s="25"/>
      <c r="IN192" s="26"/>
      <c r="IO192" s="26"/>
      <c r="IP192" s="35"/>
      <c r="IQ192" s="25"/>
      <c r="IR192" s="26"/>
      <c r="IS192" s="26"/>
      <c r="IT192" s="35"/>
      <c r="IU192" s="25"/>
      <c r="IV192" s="26"/>
    </row>
    <row r="193" spans="2:256" ht="30" customHeight="1" x14ac:dyDescent="0.25">
      <c r="B193" s="14">
        <v>131403</v>
      </c>
      <c r="C193" s="143">
        <v>346700.93</v>
      </c>
      <c r="D193" s="103" t="s">
        <v>321</v>
      </c>
      <c r="E193" s="126">
        <v>200000</v>
      </c>
      <c r="F193" s="105"/>
      <c r="G193" s="126">
        <v>194566</v>
      </c>
      <c r="H193" s="126">
        <v>165000</v>
      </c>
      <c r="I193" s="104">
        <f t="shared" si="58"/>
        <v>1.3333333333333333</v>
      </c>
      <c r="J193" s="176"/>
      <c r="K193" s="107">
        <v>380000</v>
      </c>
      <c r="L193" s="108">
        <v>284640</v>
      </c>
      <c r="M193" s="107">
        <v>250832</v>
      </c>
      <c r="N193" s="108"/>
      <c r="O193" s="109">
        <f>M193*4/3</f>
        <v>334442.66666666669</v>
      </c>
      <c r="P193" s="109">
        <v>152513</v>
      </c>
      <c r="Q193" s="109">
        <f t="shared" si="69"/>
        <v>152513</v>
      </c>
      <c r="R193" s="107">
        <v>350000</v>
      </c>
      <c r="S193" s="107">
        <v>340500</v>
      </c>
      <c r="T193" s="107">
        <f t="shared" si="65"/>
        <v>305026</v>
      </c>
      <c r="U193" s="107">
        <v>500000</v>
      </c>
      <c r="V193" s="107">
        <f>217017+25000</f>
        <v>242017</v>
      </c>
      <c r="W193" s="107">
        <f t="shared" si="66"/>
        <v>484034</v>
      </c>
      <c r="X193" s="110">
        <f t="shared" si="67"/>
        <v>484034</v>
      </c>
      <c r="Y193" s="107">
        <v>502468</v>
      </c>
      <c r="Z193" s="107">
        <f>Y193*12/10</f>
        <v>602961.6</v>
      </c>
      <c r="AA193" s="110">
        <v>728000</v>
      </c>
      <c r="AB193" s="110">
        <v>220889</v>
      </c>
      <c r="AC193" s="110">
        <v>265000</v>
      </c>
      <c r="AD193" s="108">
        <f t="shared" si="68"/>
        <v>265000</v>
      </c>
      <c r="AE193" s="107">
        <v>362000</v>
      </c>
      <c r="AF193" s="107">
        <v>362000</v>
      </c>
      <c r="AG193" s="26"/>
      <c r="AH193" s="26"/>
      <c r="AI193" s="35"/>
      <c r="AJ193" s="25"/>
      <c r="AK193" s="26"/>
      <c r="AL193" s="26"/>
      <c r="AM193" s="35"/>
      <c r="AN193" s="25"/>
      <c r="AO193" s="26"/>
      <c r="AP193" s="35"/>
      <c r="AQ193" s="25"/>
      <c r="AR193" s="26"/>
      <c r="AS193" s="26"/>
      <c r="AT193" s="35"/>
      <c r="AU193" s="25"/>
      <c r="AV193" s="26"/>
      <c r="AW193" s="35"/>
      <c r="AX193" s="26"/>
      <c r="AY193" s="26"/>
      <c r="AZ193" s="35"/>
      <c r="BA193" s="26"/>
      <c r="BB193" s="35"/>
      <c r="BC193" s="25"/>
      <c r="BD193" s="26"/>
      <c r="BE193" s="26"/>
      <c r="BF193" s="35"/>
      <c r="BG193" s="25"/>
      <c r="BH193" s="26"/>
      <c r="BI193" s="26"/>
      <c r="BJ193" s="35"/>
      <c r="BK193" s="25"/>
      <c r="BL193" s="26"/>
      <c r="BM193" s="26"/>
      <c r="BN193" s="35"/>
      <c r="BO193" s="25"/>
      <c r="BP193" s="26"/>
      <c r="BQ193" s="26"/>
      <c r="BR193" s="35"/>
      <c r="BS193" s="25"/>
      <c r="BT193" s="26"/>
      <c r="BU193" s="26"/>
      <c r="BV193" s="35"/>
      <c r="BW193" s="25"/>
      <c r="BX193" s="26"/>
      <c r="BY193" s="26"/>
      <c r="BZ193" s="35"/>
      <c r="CA193" s="25"/>
      <c r="CB193" s="26"/>
      <c r="CC193" s="26"/>
      <c r="CD193" s="35"/>
      <c r="CE193" s="25"/>
      <c r="CF193" s="26"/>
      <c r="CG193" s="26"/>
      <c r="CH193" s="35"/>
      <c r="CI193" s="25"/>
      <c r="CJ193" s="26"/>
      <c r="CK193" s="26"/>
      <c r="CL193" s="35"/>
      <c r="CM193" s="25"/>
      <c r="CN193" s="26"/>
      <c r="CO193" s="26"/>
      <c r="CP193" s="35"/>
      <c r="CQ193" s="25"/>
      <c r="CR193" s="26"/>
      <c r="CS193" s="26"/>
      <c r="CT193" s="35"/>
      <c r="CU193" s="25"/>
      <c r="CV193" s="26"/>
      <c r="CW193" s="26"/>
      <c r="CX193" s="35"/>
      <c r="CY193" s="25"/>
      <c r="CZ193" s="26"/>
      <c r="DA193" s="26"/>
      <c r="DB193" s="35"/>
      <c r="DC193" s="25"/>
      <c r="DD193" s="26"/>
      <c r="DE193" s="26"/>
      <c r="DF193" s="35"/>
      <c r="DG193" s="25"/>
      <c r="DH193" s="26"/>
      <c r="DI193" s="26"/>
      <c r="DJ193" s="35"/>
      <c r="DK193" s="25"/>
      <c r="DL193" s="26"/>
      <c r="DM193" s="26"/>
      <c r="DN193" s="35"/>
      <c r="DO193" s="25"/>
      <c r="DP193" s="26"/>
      <c r="DQ193" s="26"/>
      <c r="DR193" s="35"/>
      <c r="DS193" s="25"/>
      <c r="DT193" s="26"/>
      <c r="DU193" s="26"/>
      <c r="DV193" s="35"/>
      <c r="DW193" s="25"/>
      <c r="DX193" s="26"/>
      <c r="DY193" s="26"/>
      <c r="DZ193" s="35"/>
      <c r="EA193" s="25"/>
      <c r="EB193" s="26"/>
      <c r="EC193" s="26"/>
      <c r="ED193" s="35"/>
      <c r="EE193" s="25"/>
      <c r="EF193" s="26"/>
      <c r="EG193" s="26"/>
      <c r="EH193" s="35"/>
      <c r="EI193" s="25"/>
      <c r="EJ193" s="26"/>
      <c r="EK193" s="26"/>
      <c r="EL193" s="35"/>
      <c r="EM193" s="25"/>
      <c r="EN193" s="26"/>
      <c r="EO193" s="26"/>
      <c r="EP193" s="35"/>
      <c r="EQ193" s="25"/>
      <c r="ER193" s="26"/>
      <c r="ES193" s="26"/>
      <c r="ET193" s="35"/>
      <c r="EU193" s="25"/>
      <c r="EV193" s="26"/>
      <c r="EW193" s="26"/>
      <c r="EX193" s="35"/>
      <c r="EY193" s="25"/>
      <c r="EZ193" s="26"/>
      <c r="FA193" s="26"/>
      <c r="FB193" s="35"/>
      <c r="FC193" s="25"/>
      <c r="FD193" s="26"/>
      <c r="FE193" s="26"/>
      <c r="FF193" s="35"/>
      <c r="FG193" s="25"/>
      <c r="FH193" s="26"/>
      <c r="FI193" s="26"/>
      <c r="FJ193" s="35"/>
      <c r="FK193" s="25"/>
      <c r="FL193" s="26"/>
      <c r="FM193" s="26"/>
      <c r="FN193" s="35"/>
      <c r="FO193" s="25"/>
      <c r="FP193" s="26"/>
      <c r="FQ193" s="26"/>
      <c r="FR193" s="35"/>
      <c r="FS193" s="25"/>
      <c r="FT193" s="26"/>
      <c r="FU193" s="26"/>
      <c r="FV193" s="35"/>
      <c r="FW193" s="25"/>
      <c r="FX193" s="26"/>
      <c r="FY193" s="26"/>
      <c r="FZ193" s="35"/>
      <c r="GA193" s="25"/>
      <c r="GB193" s="26"/>
      <c r="GC193" s="26"/>
      <c r="GD193" s="35"/>
      <c r="GE193" s="25"/>
      <c r="GF193" s="26"/>
      <c r="GG193" s="26"/>
      <c r="GH193" s="35"/>
      <c r="GI193" s="25"/>
      <c r="GJ193" s="26"/>
      <c r="GK193" s="26"/>
      <c r="GL193" s="35"/>
      <c r="GM193" s="25"/>
      <c r="GN193" s="26"/>
      <c r="GO193" s="26"/>
      <c r="GP193" s="35"/>
      <c r="GQ193" s="25"/>
      <c r="GR193" s="26"/>
      <c r="GS193" s="26"/>
      <c r="GT193" s="35"/>
      <c r="GU193" s="25"/>
      <c r="GV193" s="26"/>
      <c r="GW193" s="26"/>
      <c r="GX193" s="35"/>
      <c r="GY193" s="25"/>
      <c r="GZ193" s="26"/>
      <c r="HA193" s="26"/>
      <c r="HB193" s="35"/>
      <c r="HC193" s="25"/>
      <c r="HD193" s="26"/>
      <c r="HE193" s="26"/>
      <c r="HF193" s="35"/>
      <c r="HG193" s="25"/>
      <c r="HH193" s="26"/>
      <c r="HI193" s="26"/>
      <c r="HJ193" s="35"/>
      <c r="HK193" s="25"/>
      <c r="HL193" s="26"/>
      <c r="HM193" s="26"/>
      <c r="HN193" s="35"/>
      <c r="HO193" s="25"/>
      <c r="HP193" s="26"/>
      <c r="HQ193" s="26"/>
      <c r="HR193" s="35"/>
      <c r="HS193" s="25"/>
      <c r="HT193" s="26"/>
      <c r="HU193" s="26"/>
      <c r="HV193" s="35"/>
      <c r="HW193" s="25"/>
      <c r="HX193" s="26"/>
      <c r="HY193" s="26"/>
      <c r="HZ193" s="35"/>
      <c r="IA193" s="25"/>
      <c r="IB193" s="26"/>
      <c r="IC193" s="26"/>
      <c r="ID193" s="35"/>
      <c r="IE193" s="25"/>
      <c r="IF193" s="26"/>
      <c r="IG193" s="26"/>
      <c r="IH193" s="35"/>
      <c r="II193" s="25"/>
      <c r="IJ193" s="26"/>
      <c r="IK193" s="26"/>
      <c r="IL193" s="35"/>
      <c r="IM193" s="25"/>
      <c r="IN193" s="26"/>
      <c r="IO193" s="26"/>
      <c r="IP193" s="35"/>
      <c r="IQ193" s="25"/>
      <c r="IR193" s="26"/>
      <c r="IS193" s="26"/>
      <c r="IT193" s="35"/>
      <c r="IU193" s="25"/>
      <c r="IV193" s="26"/>
    </row>
    <row r="194" spans="2:256" ht="30" customHeight="1" x14ac:dyDescent="0.25">
      <c r="B194" s="14"/>
      <c r="C194" s="143">
        <v>346701.93</v>
      </c>
      <c r="D194" s="103" t="s">
        <v>714</v>
      </c>
      <c r="E194" s="126"/>
      <c r="F194" s="105"/>
      <c r="G194" s="126"/>
      <c r="H194" s="126"/>
      <c r="I194" s="104"/>
      <c r="J194" s="176"/>
      <c r="K194" s="107"/>
      <c r="L194" s="108"/>
      <c r="M194" s="107"/>
      <c r="N194" s="108"/>
      <c r="O194" s="109"/>
      <c r="P194" s="109"/>
      <c r="Q194" s="109"/>
      <c r="R194" s="107"/>
      <c r="S194" s="107"/>
      <c r="T194" s="107"/>
      <c r="U194" s="107"/>
      <c r="V194" s="107"/>
      <c r="W194" s="107"/>
      <c r="X194" s="110"/>
      <c r="Y194" s="107"/>
      <c r="Z194" s="107"/>
      <c r="AA194" s="110"/>
      <c r="AB194" s="110"/>
      <c r="AC194" s="110"/>
      <c r="AD194" s="108"/>
      <c r="AE194" s="107"/>
      <c r="AF194" s="107">
        <v>189000</v>
      </c>
      <c r="AG194" s="26"/>
      <c r="AH194" s="26"/>
      <c r="AI194" s="35"/>
      <c r="AJ194" s="25"/>
      <c r="AK194" s="26"/>
      <c r="AL194" s="26"/>
      <c r="AM194" s="35"/>
      <c r="AN194" s="25"/>
      <c r="AO194" s="26"/>
      <c r="AP194" s="35"/>
      <c r="AQ194" s="25"/>
      <c r="AR194" s="26"/>
      <c r="AS194" s="26"/>
      <c r="AT194" s="35"/>
      <c r="AU194" s="25"/>
      <c r="AV194" s="26"/>
      <c r="AW194" s="35"/>
      <c r="AX194" s="26"/>
      <c r="AY194" s="26"/>
      <c r="AZ194" s="35"/>
      <c r="BA194" s="26"/>
      <c r="BB194" s="35"/>
      <c r="BC194" s="25"/>
      <c r="BD194" s="26"/>
      <c r="BE194" s="26"/>
      <c r="BF194" s="35"/>
      <c r="BG194" s="25"/>
      <c r="BH194" s="26"/>
      <c r="BI194" s="26"/>
      <c r="BJ194" s="35"/>
      <c r="BK194" s="25"/>
      <c r="BL194" s="26"/>
      <c r="BM194" s="26"/>
      <c r="BN194" s="35"/>
      <c r="BO194" s="25"/>
      <c r="BP194" s="26"/>
      <c r="BQ194" s="26"/>
      <c r="BR194" s="35"/>
      <c r="BS194" s="25"/>
      <c r="BT194" s="26"/>
      <c r="BU194" s="26"/>
      <c r="BV194" s="35"/>
      <c r="BW194" s="25"/>
      <c r="BX194" s="26"/>
      <c r="BY194" s="26"/>
      <c r="BZ194" s="35"/>
      <c r="CA194" s="25"/>
      <c r="CB194" s="26"/>
      <c r="CC194" s="26"/>
      <c r="CD194" s="35"/>
      <c r="CE194" s="25"/>
      <c r="CF194" s="26"/>
      <c r="CG194" s="26"/>
      <c r="CH194" s="35"/>
      <c r="CI194" s="25"/>
      <c r="CJ194" s="26"/>
      <c r="CK194" s="26"/>
      <c r="CL194" s="35"/>
      <c r="CM194" s="25"/>
      <c r="CN194" s="26"/>
      <c r="CO194" s="26"/>
      <c r="CP194" s="35"/>
      <c r="CQ194" s="25"/>
      <c r="CR194" s="26"/>
      <c r="CS194" s="26"/>
      <c r="CT194" s="35"/>
      <c r="CU194" s="25"/>
      <c r="CV194" s="26"/>
      <c r="CW194" s="26"/>
      <c r="CX194" s="35"/>
      <c r="CY194" s="25"/>
      <c r="CZ194" s="26"/>
      <c r="DA194" s="26"/>
      <c r="DB194" s="35"/>
      <c r="DC194" s="25"/>
      <c r="DD194" s="26"/>
      <c r="DE194" s="26"/>
      <c r="DF194" s="35"/>
      <c r="DG194" s="25"/>
      <c r="DH194" s="26"/>
      <c r="DI194" s="26"/>
      <c r="DJ194" s="35"/>
      <c r="DK194" s="25"/>
      <c r="DL194" s="26"/>
      <c r="DM194" s="26"/>
      <c r="DN194" s="35"/>
      <c r="DO194" s="25"/>
      <c r="DP194" s="26"/>
      <c r="DQ194" s="26"/>
      <c r="DR194" s="35"/>
      <c r="DS194" s="25"/>
      <c r="DT194" s="26"/>
      <c r="DU194" s="26"/>
      <c r="DV194" s="35"/>
      <c r="DW194" s="25"/>
      <c r="DX194" s="26"/>
      <c r="DY194" s="26"/>
      <c r="DZ194" s="35"/>
      <c r="EA194" s="25"/>
      <c r="EB194" s="26"/>
      <c r="EC194" s="26"/>
      <c r="ED194" s="35"/>
      <c r="EE194" s="25"/>
      <c r="EF194" s="26"/>
      <c r="EG194" s="26"/>
      <c r="EH194" s="35"/>
      <c r="EI194" s="25"/>
      <c r="EJ194" s="26"/>
      <c r="EK194" s="26"/>
      <c r="EL194" s="35"/>
      <c r="EM194" s="25"/>
      <c r="EN194" s="26"/>
      <c r="EO194" s="26"/>
      <c r="EP194" s="35"/>
      <c r="EQ194" s="25"/>
      <c r="ER194" s="26"/>
      <c r="ES194" s="26"/>
      <c r="ET194" s="35"/>
      <c r="EU194" s="25"/>
      <c r="EV194" s="26"/>
      <c r="EW194" s="26"/>
      <c r="EX194" s="35"/>
      <c r="EY194" s="25"/>
      <c r="EZ194" s="26"/>
      <c r="FA194" s="26"/>
      <c r="FB194" s="35"/>
      <c r="FC194" s="25"/>
      <c r="FD194" s="26"/>
      <c r="FE194" s="26"/>
      <c r="FF194" s="35"/>
      <c r="FG194" s="25"/>
      <c r="FH194" s="26"/>
      <c r="FI194" s="26"/>
      <c r="FJ194" s="35"/>
      <c r="FK194" s="25"/>
      <c r="FL194" s="26"/>
      <c r="FM194" s="26"/>
      <c r="FN194" s="35"/>
      <c r="FO194" s="25"/>
      <c r="FP194" s="26"/>
      <c r="FQ194" s="26"/>
      <c r="FR194" s="35"/>
      <c r="FS194" s="25"/>
      <c r="FT194" s="26"/>
      <c r="FU194" s="26"/>
      <c r="FV194" s="35"/>
      <c r="FW194" s="25"/>
      <c r="FX194" s="26"/>
      <c r="FY194" s="26"/>
      <c r="FZ194" s="35"/>
      <c r="GA194" s="25"/>
      <c r="GB194" s="26"/>
      <c r="GC194" s="26"/>
      <c r="GD194" s="35"/>
      <c r="GE194" s="25"/>
      <c r="GF194" s="26"/>
      <c r="GG194" s="26"/>
      <c r="GH194" s="35"/>
      <c r="GI194" s="25"/>
      <c r="GJ194" s="26"/>
      <c r="GK194" s="26"/>
      <c r="GL194" s="35"/>
      <c r="GM194" s="25"/>
      <c r="GN194" s="26"/>
      <c r="GO194" s="26"/>
      <c r="GP194" s="35"/>
      <c r="GQ194" s="25"/>
      <c r="GR194" s="26"/>
      <c r="GS194" s="26"/>
      <c r="GT194" s="35"/>
      <c r="GU194" s="25"/>
      <c r="GV194" s="26"/>
      <c r="GW194" s="26"/>
      <c r="GX194" s="35"/>
      <c r="GY194" s="25"/>
      <c r="GZ194" s="26"/>
      <c r="HA194" s="26"/>
      <c r="HB194" s="35"/>
      <c r="HC194" s="25"/>
      <c r="HD194" s="26"/>
      <c r="HE194" s="26"/>
      <c r="HF194" s="35"/>
      <c r="HG194" s="25"/>
      <c r="HH194" s="26"/>
      <c r="HI194" s="26"/>
      <c r="HJ194" s="35"/>
      <c r="HK194" s="25"/>
      <c r="HL194" s="26"/>
      <c r="HM194" s="26"/>
      <c r="HN194" s="35"/>
      <c r="HO194" s="25"/>
      <c r="HP194" s="26"/>
      <c r="HQ194" s="26"/>
      <c r="HR194" s="35"/>
      <c r="HS194" s="25"/>
      <c r="HT194" s="26"/>
      <c r="HU194" s="26"/>
      <c r="HV194" s="35"/>
      <c r="HW194" s="25"/>
      <c r="HX194" s="26"/>
      <c r="HY194" s="26"/>
      <c r="HZ194" s="35"/>
      <c r="IA194" s="25"/>
      <c r="IB194" s="26"/>
      <c r="IC194" s="26"/>
      <c r="ID194" s="35"/>
      <c r="IE194" s="25"/>
      <c r="IF194" s="26"/>
      <c r="IG194" s="26"/>
      <c r="IH194" s="35"/>
      <c r="II194" s="25"/>
      <c r="IJ194" s="26"/>
      <c r="IK194" s="26"/>
      <c r="IL194" s="35"/>
      <c r="IM194" s="25"/>
      <c r="IN194" s="26"/>
      <c r="IO194" s="26"/>
      <c r="IP194" s="35"/>
      <c r="IQ194" s="25"/>
      <c r="IR194" s="26"/>
      <c r="IS194" s="26"/>
      <c r="IT194" s="35"/>
      <c r="IU194" s="25"/>
      <c r="IV194" s="26"/>
    </row>
    <row r="195" spans="2:256" ht="30" customHeight="1" x14ac:dyDescent="0.25">
      <c r="B195" s="14">
        <v>168841</v>
      </c>
      <c r="C195" s="143">
        <v>346800.93</v>
      </c>
      <c r="D195" s="103" t="s">
        <v>322</v>
      </c>
      <c r="E195" s="126">
        <v>80000</v>
      </c>
      <c r="F195" s="105"/>
      <c r="G195" s="126">
        <v>94793</v>
      </c>
      <c r="H195" s="126">
        <v>80000</v>
      </c>
      <c r="I195" s="104">
        <f t="shared" si="58"/>
        <v>1.3333333333333333</v>
      </c>
      <c r="J195" s="176"/>
      <c r="K195" s="107">
        <v>107000</v>
      </c>
      <c r="L195" s="108">
        <v>80290</v>
      </c>
      <c r="M195" s="107">
        <v>98914</v>
      </c>
      <c r="N195" s="108"/>
      <c r="O195" s="109">
        <f t="shared" ref="O195:O200" si="70">M195*4/3</f>
        <v>131885.33333333334</v>
      </c>
      <c r="P195" s="109">
        <v>59117</v>
      </c>
      <c r="Q195" s="109">
        <f t="shared" si="69"/>
        <v>59117</v>
      </c>
      <c r="R195" s="107">
        <v>130000</v>
      </c>
      <c r="S195" s="107">
        <v>110100</v>
      </c>
      <c r="T195" s="107">
        <f t="shared" si="65"/>
        <v>118234</v>
      </c>
      <c r="U195" s="107">
        <v>230000</v>
      </c>
      <c r="V195" s="107">
        <f>16579+100000</f>
        <v>116579</v>
      </c>
      <c r="W195" s="107">
        <f t="shared" si="66"/>
        <v>233158</v>
      </c>
      <c r="X195" s="110">
        <f t="shared" si="67"/>
        <v>233158</v>
      </c>
      <c r="Y195" s="107">
        <v>42047</v>
      </c>
      <c r="Z195" s="107">
        <f t="shared" ref="Z195:Z200" si="71">Y195*12/10</f>
        <v>50456.4</v>
      </c>
      <c r="AA195" s="110">
        <v>91400</v>
      </c>
      <c r="AB195" s="110">
        <v>77588</v>
      </c>
      <c r="AC195" s="110">
        <v>93000</v>
      </c>
      <c r="AD195" s="108">
        <f t="shared" si="68"/>
        <v>93000</v>
      </c>
      <c r="AE195" s="107">
        <v>93000</v>
      </c>
      <c r="AF195" s="107">
        <v>93000</v>
      </c>
      <c r="AG195" s="26"/>
      <c r="AH195" s="26"/>
      <c r="AI195" s="35"/>
      <c r="AJ195" s="25"/>
      <c r="AK195" s="26"/>
      <c r="AL195" s="26"/>
      <c r="AM195" s="35"/>
      <c r="AN195" s="25"/>
      <c r="AO195" s="26"/>
      <c r="AP195" s="35"/>
      <c r="AQ195" s="25"/>
      <c r="AR195" s="26"/>
      <c r="AS195" s="26"/>
      <c r="AT195" s="35"/>
      <c r="AU195" s="25"/>
      <c r="AV195" s="26"/>
      <c r="AW195" s="35"/>
      <c r="AX195" s="26"/>
      <c r="AY195" s="26"/>
      <c r="AZ195" s="35"/>
      <c r="BA195" s="26"/>
      <c r="BB195" s="35"/>
      <c r="BC195" s="25"/>
      <c r="BD195" s="26"/>
      <c r="BE195" s="26"/>
      <c r="BF195" s="35"/>
      <c r="BG195" s="25"/>
      <c r="BH195" s="26"/>
      <c r="BI195" s="26"/>
      <c r="BJ195" s="35"/>
      <c r="BK195" s="25"/>
      <c r="BL195" s="26"/>
      <c r="BM195" s="26"/>
      <c r="BN195" s="35"/>
      <c r="BO195" s="25"/>
      <c r="BP195" s="26"/>
      <c r="BQ195" s="26"/>
      <c r="BR195" s="35"/>
      <c r="BS195" s="25"/>
      <c r="BT195" s="26"/>
      <c r="BU195" s="26"/>
      <c r="BV195" s="35"/>
      <c r="BW195" s="25"/>
      <c r="BX195" s="26"/>
      <c r="BY195" s="26"/>
      <c r="BZ195" s="35"/>
      <c r="CA195" s="25"/>
      <c r="CB195" s="26"/>
      <c r="CC195" s="26"/>
      <c r="CD195" s="35"/>
      <c r="CE195" s="25"/>
      <c r="CF195" s="26"/>
      <c r="CG195" s="26"/>
      <c r="CH195" s="35"/>
      <c r="CI195" s="25"/>
      <c r="CJ195" s="26"/>
      <c r="CK195" s="26"/>
      <c r="CL195" s="35"/>
      <c r="CM195" s="25"/>
      <c r="CN195" s="26"/>
      <c r="CO195" s="26"/>
      <c r="CP195" s="35"/>
      <c r="CQ195" s="25"/>
      <c r="CR195" s="26"/>
      <c r="CS195" s="26"/>
      <c r="CT195" s="35"/>
      <c r="CU195" s="25"/>
      <c r="CV195" s="26"/>
      <c r="CW195" s="26"/>
      <c r="CX195" s="35"/>
      <c r="CY195" s="25"/>
      <c r="CZ195" s="26"/>
      <c r="DA195" s="26"/>
      <c r="DB195" s="35"/>
      <c r="DC195" s="25"/>
      <c r="DD195" s="26"/>
      <c r="DE195" s="26"/>
      <c r="DF195" s="35"/>
      <c r="DG195" s="25"/>
      <c r="DH195" s="26"/>
      <c r="DI195" s="26"/>
      <c r="DJ195" s="35"/>
      <c r="DK195" s="25"/>
      <c r="DL195" s="26"/>
      <c r="DM195" s="26"/>
      <c r="DN195" s="35"/>
      <c r="DO195" s="25"/>
      <c r="DP195" s="26"/>
      <c r="DQ195" s="26"/>
      <c r="DR195" s="35"/>
      <c r="DS195" s="25"/>
      <c r="DT195" s="26"/>
      <c r="DU195" s="26"/>
      <c r="DV195" s="35"/>
      <c r="DW195" s="25"/>
      <c r="DX195" s="26"/>
      <c r="DY195" s="26"/>
      <c r="DZ195" s="35"/>
      <c r="EA195" s="25"/>
      <c r="EB195" s="26"/>
      <c r="EC195" s="26"/>
      <c r="ED195" s="35"/>
      <c r="EE195" s="25"/>
      <c r="EF195" s="26"/>
      <c r="EG195" s="26"/>
      <c r="EH195" s="35"/>
      <c r="EI195" s="25"/>
      <c r="EJ195" s="26"/>
      <c r="EK195" s="26"/>
      <c r="EL195" s="35"/>
      <c r="EM195" s="25"/>
      <c r="EN195" s="26"/>
      <c r="EO195" s="26"/>
      <c r="EP195" s="35"/>
      <c r="EQ195" s="25"/>
      <c r="ER195" s="26"/>
      <c r="ES195" s="26"/>
      <c r="ET195" s="35"/>
      <c r="EU195" s="25"/>
      <c r="EV195" s="26"/>
      <c r="EW195" s="26"/>
      <c r="EX195" s="35"/>
      <c r="EY195" s="25"/>
      <c r="EZ195" s="26"/>
      <c r="FA195" s="26"/>
      <c r="FB195" s="35"/>
      <c r="FC195" s="25"/>
      <c r="FD195" s="26"/>
      <c r="FE195" s="26"/>
      <c r="FF195" s="35"/>
      <c r="FG195" s="25"/>
      <c r="FH195" s="26"/>
      <c r="FI195" s="26"/>
      <c r="FJ195" s="35"/>
      <c r="FK195" s="25"/>
      <c r="FL195" s="26"/>
      <c r="FM195" s="26"/>
      <c r="FN195" s="35"/>
      <c r="FO195" s="25"/>
      <c r="FP195" s="26"/>
      <c r="FQ195" s="26"/>
      <c r="FR195" s="35"/>
      <c r="FS195" s="25"/>
      <c r="FT195" s="26"/>
      <c r="FU195" s="26"/>
      <c r="FV195" s="35"/>
      <c r="FW195" s="25"/>
      <c r="FX195" s="26"/>
      <c r="FY195" s="26"/>
      <c r="FZ195" s="35"/>
      <c r="GA195" s="25"/>
      <c r="GB195" s="26"/>
      <c r="GC195" s="26"/>
      <c r="GD195" s="35"/>
      <c r="GE195" s="25"/>
      <c r="GF195" s="26"/>
      <c r="GG195" s="26"/>
      <c r="GH195" s="35"/>
      <c r="GI195" s="25"/>
      <c r="GJ195" s="26"/>
      <c r="GK195" s="26"/>
      <c r="GL195" s="35"/>
      <c r="GM195" s="25"/>
      <c r="GN195" s="26"/>
      <c r="GO195" s="26"/>
      <c r="GP195" s="35"/>
      <c r="GQ195" s="25"/>
      <c r="GR195" s="26"/>
      <c r="GS195" s="26"/>
      <c r="GT195" s="35"/>
      <c r="GU195" s="25"/>
      <c r="GV195" s="26"/>
      <c r="GW195" s="26"/>
      <c r="GX195" s="35"/>
      <c r="GY195" s="25"/>
      <c r="GZ195" s="26"/>
      <c r="HA195" s="26"/>
      <c r="HB195" s="35"/>
      <c r="HC195" s="25"/>
      <c r="HD195" s="26"/>
      <c r="HE195" s="26"/>
      <c r="HF195" s="35"/>
      <c r="HG195" s="25"/>
      <c r="HH195" s="26"/>
      <c r="HI195" s="26"/>
      <c r="HJ195" s="35"/>
      <c r="HK195" s="25"/>
      <c r="HL195" s="26"/>
      <c r="HM195" s="26"/>
      <c r="HN195" s="35"/>
      <c r="HO195" s="25"/>
      <c r="HP195" s="26"/>
      <c r="HQ195" s="26"/>
      <c r="HR195" s="35"/>
      <c r="HS195" s="25"/>
      <c r="HT195" s="26"/>
      <c r="HU195" s="26"/>
      <c r="HV195" s="35"/>
      <c r="HW195" s="25"/>
      <c r="HX195" s="26"/>
      <c r="HY195" s="26"/>
      <c r="HZ195" s="35"/>
      <c r="IA195" s="25"/>
      <c r="IB195" s="26"/>
      <c r="IC195" s="26"/>
      <c r="ID195" s="35"/>
      <c r="IE195" s="25"/>
      <c r="IF195" s="26"/>
      <c r="IG195" s="26"/>
      <c r="IH195" s="35"/>
      <c r="II195" s="25"/>
      <c r="IJ195" s="26"/>
      <c r="IK195" s="26"/>
      <c r="IL195" s="35"/>
      <c r="IM195" s="25"/>
      <c r="IN195" s="26"/>
      <c r="IO195" s="26"/>
      <c r="IP195" s="35"/>
      <c r="IQ195" s="25"/>
      <c r="IR195" s="26"/>
      <c r="IS195" s="26"/>
      <c r="IT195" s="35"/>
      <c r="IU195" s="25"/>
      <c r="IV195" s="26"/>
    </row>
    <row r="196" spans="2:256" ht="30" customHeight="1" x14ac:dyDescent="0.25">
      <c r="B196" s="14">
        <v>23121</v>
      </c>
      <c r="C196" s="143">
        <v>347100.93</v>
      </c>
      <c r="D196" s="103" t="s">
        <v>323</v>
      </c>
      <c r="E196" s="126">
        <v>55000</v>
      </c>
      <c r="F196" s="105"/>
      <c r="G196" s="126">
        <v>61684</v>
      </c>
      <c r="H196" s="126">
        <v>15000</v>
      </c>
      <c r="I196" s="104">
        <f t="shared" si="58"/>
        <v>1.3333333333333333</v>
      </c>
      <c r="J196" s="176"/>
      <c r="K196" s="107">
        <v>60000</v>
      </c>
      <c r="L196" s="108">
        <v>45314</v>
      </c>
      <c r="M196" s="107">
        <v>81369</v>
      </c>
      <c r="N196" s="108"/>
      <c r="O196" s="109">
        <f t="shared" si="70"/>
        <v>108492</v>
      </c>
      <c r="P196" s="109">
        <v>67918</v>
      </c>
      <c r="Q196" s="109">
        <f t="shared" si="69"/>
        <v>67918</v>
      </c>
      <c r="R196" s="107">
        <v>108000</v>
      </c>
      <c r="S196" s="107">
        <v>177200</v>
      </c>
      <c r="T196" s="107">
        <f t="shared" si="65"/>
        <v>135836</v>
      </c>
      <c r="U196" s="107">
        <v>260000</v>
      </c>
      <c r="V196" s="107">
        <f>104466+25000</f>
        <v>129466</v>
      </c>
      <c r="W196" s="107">
        <f t="shared" si="66"/>
        <v>258932</v>
      </c>
      <c r="X196" s="110">
        <f t="shared" si="67"/>
        <v>258932</v>
      </c>
      <c r="Y196" s="107">
        <v>190595</v>
      </c>
      <c r="Z196" s="107">
        <f t="shared" si="71"/>
        <v>228714</v>
      </c>
      <c r="AA196" s="110">
        <v>381000</v>
      </c>
      <c r="AB196" s="110">
        <v>321068</v>
      </c>
      <c r="AC196" s="110">
        <v>385000</v>
      </c>
      <c r="AD196" s="108">
        <f t="shared" si="68"/>
        <v>385000</v>
      </c>
      <c r="AE196" s="107">
        <v>382000</v>
      </c>
      <c r="AF196" s="107">
        <v>382000</v>
      </c>
      <c r="AG196" s="26"/>
      <c r="AH196" s="26"/>
      <c r="AI196" s="35"/>
      <c r="AJ196" s="25"/>
      <c r="AK196" s="26"/>
      <c r="AL196" s="26"/>
      <c r="AM196" s="35"/>
      <c r="AN196" s="25"/>
      <c r="AO196" s="26"/>
      <c r="AP196" s="35"/>
      <c r="AQ196" s="25"/>
      <c r="AR196" s="26"/>
      <c r="AS196" s="26"/>
      <c r="AT196" s="35"/>
      <c r="AU196" s="25"/>
      <c r="AV196" s="26"/>
      <c r="AW196" s="35"/>
      <c r="AX196" s="26"/>
      <c r="AY196" s="26"/>
      <c r="AZ196" s="35"/>
      <c r="BA196" s="26"/>
      <c r="BB196" s="35"/>
      <c r="BC196" s="25"/>
      <c r="BD196" s="26"/>
      <c r="BE196" s="26"/>
      <c r="BF196" s="35"/>
      <c r="BG196" s="25"/>
      <c r="BH196" s="26"/>
      <c r="BI196" s="26"/>
      <c r="BJ196" s="35"/>
      <c r="BK196" s="25"/>
      <c r="BL196" s="26"/>
      <c r="BM196" s="26"/>
      <c r="BN196" s="35"/>
      <c r="BO196" s="25"/>
      <c r="BP196" s="26"/>
      <c r="BQ196" s="26"/>
      <c r="BR196" s="35"/>
      <c r="BS196" s="25"/>
      <c r="BT196" s="26"/>
      <c r="BU196" s="26"/>
      <c r="BV196" s="35"/>
      <c r="BW196" s="25"/>
      <c r="BX196" s="26"/>
      <c r="BY196" s="26"/>
      <c r="BZ196" s="35"/>
      <c r="CA196" s="25"/>
      <c r="CB196" s="26"/>
      <c r="CC196" s="26"/>
      <c r="CD196" s="35"/>
      <c r="CE196" s="25"/>
      <c r="CF196" s="26"/>
      <c r="CG196" s="26"/>
      <c r="CH196" s="35"/>
      <c r="CI196" s="25"/>
      <c r="CJ196" s="26"/>
      <c r="CK196" s="26"/>
      <c r="CL196" s="35"/>
      <c r="CM196" s="25"/>
      <c r="CN196" s="26"/>
      <c r="CO196" s="26"/>
      <c r="CP196" s="35"/>
      <c r="CQ196" s="25"/>
      <c r="CR196" s="26"/>
      <c r="CS196" s="26"/>
      <c r="CT196" s="35"/>
      <c r="CU196" s="25"/>
      <c r="CV196" s="26"/>
      <c r="CW196" s="26"/>
      <c r="CX196" s="35"/>
      <c r="CY196" s="25"/>
      <c r="CZ196" s="26"/>
      <c r="DA196" s="26"/>
      <c r="DB196" s="35"/>
      <c r="DC196" s="25"/>
      <c r="DD196" s="26"/>
      <c r="DE196" s="26"/>
      <c r="DF196" s="35"/>
      <c r="DG196" s="25"/>
      <c r="DH196" s="26"/>
      <c r="DI196" s="26"/>
      <c r="DJ196" s="35"/>
      <c r="DK196" s="25"/>
      <c r="DL196" s="26"/>
      <c r="DM196" s="26"/>
      <c r="DN196" s="35"/>
      <c r="DO196" s="25"/>
      <c r="DP196" s="26"/>
      <c r="DQ196" s="26"/>
      <c r="DR196" s="35"/>
      <c r="DS196" s="25"/>
      <c r="DT196" s="26"/>
      <c r="DU196" s="26"/>
      <c r="DV196" s="35"/>
      <c r="DW196" s="25"/>
      <c r="DX196" s="26"/>
      <c r="DY196" s="26"/>
      <c r="DZ196" s="35"/>
      <c r="EA196" s="25"/>
      <c r="EB196" s="26"/>
      <c r="EC196" s="26"/>
      <c r="ED196" s="35"/>
      <c r="EE196" s="25"/>
      <c r="EF196" s="26"/>
      <c r="EG196" s="26"/>
      <c r="EH196" s="35"/>
      <c r="EI196" s="25"/>
      <c r="EJ196" s="26"/>
      <c r="EK196" s="26"/>
      <c r="EL196" s="35"/>
      <c r="EM196" s="25"/>
      <c r="EN196" s="26"/>
      <c r="EO196" s="26"/>
      <c r="EP196" s="35"/>
      <c r="EQ196" s="25"/>
      <c r="ER196" s="26"/>
      <c r="ES196" s="26"/>
      <c r="ET196" s="35"/>
      <c r="EU196" s="25"/>
      <c r="EV196" s="26"/>
      <c r="EW196" s="26"/>
      <c r="EX196" s="35"/>
      <c r="EY196" s="25"/>
      <c r="EZ196" s="26"/>
      <c r="FA196" s="26"/>
      <c r="FB196" s="35"/>
      <c r="FC196" s="25"/>
      <c r="FD196" s="26"/>
      <c r="FE196" s="26"/>
      <c r="FF196" s="35"/>
      <c r="FG196" s="25"/>
      <c r="FH196" s="26"/>
      <c r="FI196" s="26"/>
      <c r="FJ196" s="35"/>
      <c r="FK196" s="25"/>
      <c r="FL196" s="26"/>
      <c r="FM196" s="26"/>
      <c r="FN196" s="35"/>
      <c r="FO196" s="25"/>
      <c r="FP196" s="26"/>
      <c r="FQ196" s="26"/>
      <c r="FR196" s="35"/>
      <c r="FS196" s="25"/>
      <c r="FT196" s="26"/>
      <c r="FU196" s="26"/>
      <c r="FV196" s="35"/>
      <c r="FW196" s="25"/>
      <c r="FX196" s="26"/>
      <c r="FY196" s="26"/>
      <c r="FZ196" s="35"/>
      <c r="GA196" s="25"/>
      <c r="GB196" s="26"/>
      <c r="GC196" s="26"/>
      <c r="GD196" s="35"/>
      <c r="GE196" s="25"/>
      <c r="GF196" s="26"/>
      <c r="GG196" s="26"/>
      <c r="GH196" s="35"/>
      <c r="GI196" s="25"/>
      <c r="GJ196" s="26"/>
      <c r="GK196" s="26"/>
      <c r="GL196" s="35"/>
      <c r="GM196" s="25"/>
      <c r="GN196" s="26"/>
      <c r="GO196" s="26"/>
      <c r="GP196" s="35"/>
      <c r="GQ196" s="25"/>
      <c r="GR196" s="26"/>
      <c r="GS196" s="26"/>
      <c r="GT196" s="35"/>
      <c r="GU196" s="25"/>
      <c r="GV196" s="26"/>
      <c r="GW196" s="26"/>
      <c r="GX196" s="35"/>
      <c r="GY196" s="25"/>
      <c r="GZ196" s="26"/>
      <c r="HA196" s="26"/>
      <c r="HB196" s="35"/>
      <c r="HC196" s="25"/>
      <c r="HD196" s="26"/>
      <c r="HE196" s="26"/>
      <c r="HF196" s="35"/>
      <c r="HG196" s="25"/>
      <c r="HH196" s="26"/>
      <c r="HI196" s="26"/>
      <c r="HJ196" s="35"/>
      <c r="HK196" s="25"/>
      <c r="HL196" s="26"/>
      <c r="HM196" s="26"/>
      <c r="HN196" s="35"/>
      <c r="HO196" s="25"/>
      <c r="HP196" s="26"/>
      <c r="HQ196" s="26"/>
      <c r="HR196" s="35"/>
      <c r="HS196" s="25"/>
      <c r="HT196" s="26"/>
      <c r="HU196" s="26"/>
      <c r="HV196" s="35"/>
      <c r="HW196" s="25"/>
      <c r="HX196" s="26"/>
      <c r="HY196" s="26"/>
      <c r="HZ196" s="35"/>
      <c r="IA196" s="25"/>
      <c r="IB196" s="26"/>
      <c r="IC196" s="26"/>
      <c r="ID196" s="35"/>
      <c r="IE196" s="25"/>
      <c r="IF196" s="26"/>
      <c r="IG196" s="26"/>
      <c r="IH196" s="35"/>
      <c r="II196" s="25"/>
      <c r="IJ196" s="26"/>
      <c r="IK196" s="26"/>
      <c r="IL196" s="35"/>
      <c r="IM196" s="25"/>
      <c r="IN196" s="26"/>
      <c r="IO196" s="26"/>
      <c r="IP196" s="35"/>
      <c r="IQ196" s="25"/>
      <c r="IR196" s="26"/>
      <c r="IS196" s="26"/>
      <c r="IT196" s="35"/>
      <c r="IU196" s="25"/>
      <c r="IV196" s="26"/>
    </row>
    <row r="197" spans="2:256" ht="30" customHeight="1" x14ac:dyDescent="0.25">
      <c r="B197" s="14">
        <v>57400</v>
      </c>
      <c r="C197" s="143">
        <v>347300.44</v>
      </c>
      <c r="D197" s="103" t="s">
        <v>324</v>
      </c>
      <c r="E197" s="126">
        <v>110000</v>
      </c>
      <c r="F197" s="105"/>
      <c r="G197" s="126">
        <v>64350</v>
      </c>
      <c r="H197" s="126">
        <v>91000</v>
      </c>
      <c r="I197" s="104">
        <f t="shared" si="58"/>
        <v>1.3333333333333333</v>
      </c>
      <c r="J197" s="176"/>
      <c r="K197" s="107">
        <v>92000</v>
      </c>
      <c r="L197" s="108">
        <v>68741</v>
      </c>
      <c r="M197" s="107">
        <v>72559</v>
      </c>
      <c r="N197" s="108"/>
      <c r="O197" s="109">
        <f t="shared" si="70"/>
        <v>96745.333333333328</v>
      </c>
      <c r="P197" s="109">
        <v>81275</v>
      </c>
      <c r="Q197" s="109">
        <f t="shared" si="69"/>
        <v>81275</v>
      </c>
      <c r="R197" s="107">
        <v>96000</v>
      </c>
      <c r="S197" s="107">
        <v>120000</v>
      </c>
      <c r="T197" s="107">
        <f t="shared" si="65"/>
        <v>162550</v>
      </c>
      <c r="U197" s="107">
        <f>S197</f>
        <v>120000</v>
      </c>
      <c r="V197" s="107">
        <v>37000</v>
      </c>
      <c r="W197" s="107">
        <f>V197*2+35000</f>
        <v>109000</v>
      </c>
      <c r="X197" s="110">
        <f t="shared" si="67"/>
        <v>109000</v>
      </c>
      <c r="Y197" s="107">
        <v>64750</v>
      </c>
      <c r="Z197" s="107">
        <f t="shared" si="71"/>
        <v>77700</v>
      </c>
      <c r="AA197" s="110">
        <v>130000</v>
      </c>
      <c r="AB197" s="110">
        <v>88254</v>
      </c>
      <c r="AC197" s="110">
        <v>106000</v>
      </c>
      <c r="AD197" s="108">
        <f t="shared" si="68"/>
        <v>106000</v>
      </c>
      <c r="AE197" s="107">
        <v>130000</v>
      </c>
      <c r="AF197" s="107">
        <v>130000</v>
      </c>
      <c r="AG197" s="26"/>
      <c r="AH197" s="26"/>
      <c r="AI197" s="35"/>
      <c r="AJ197" s="25"/>
      <c r="AK197" s="26"/>
      <c r="AL197" s="26"/>
      <c r="AM197" s="35"/>
      <c r="AN197" s="25"/>
      <c r="AO197" s="26"/>
      <c r="AP197" s="35"/>
      <c r="AQ197" s="25"/>
      <c r="AR197" s="26"/>
      <c r="AS197" s="26"/>
      <c r="AT197" s="35"/>
      <c r="AU197" s="25"/>
      <c r="AV197" s="26"/>
      <c r="AW197" s="35"/>
      <c r="AX197" s="26"/>
      <c r="AY197" s="26"/>
      <c r="AZ197" s="35"/>
      <c r="BA197" s="26"/>
      <c r="BB197" s="35"/>
      <c r="BC197" s="25"/>
      <c r="BD197" s="26"/>
      <c r="BE197" s="26"/>
      <c r="BF197" s="35"/>
      <c r="BG197" s="25"/>
      <c r="BH197" s="26"/>
      <c r="BI197" s="26"/>
      <c r="BJ197" s="35"/>
      <c r="BK197" s="25"/>
      <c r="BL197" s="26"/>
      <c r="BM197" s="26"/>
      <c r="BN197" s="35"/>
      <c r="BO197" s="25"/>
      <c r="BP197" s="26"/>
      <c r="BQ197" s="26"/>
      <c r="BR197" s="35"/>
      <c r="BS197" s="25"/>
      <c r="BT197" s="26"/>
      <c r="BU197" s="26"/>
      <c r="BV197" s="35"/>
      <c r="BW197" s="25"/>
      <c r="BX197" s="26"/>
      <c r="BY197" s="26"/>
      <c r="BZ197" s="35"/>
      <c r="CA197" s="25"/>
      <c r="CB197" s="26"/>
      <c r="CC197" s="26"/>
      <c r="CD197" s="35"/>
      <c r="CE197" s="25"/>
      <c r="CF197" s="26"/>
      <c r="CG197" s="26"/>
      <c r="CH197" s="35"/>
      <c r="CI197" s="25"/>
      <c r="CJ197" s="26"/>
      <c r="CK197" s="26"/>
      <c r="CL197" s="35"/>
      <c r="CM197" s="25"/>
      <c r="CN197" s="26"/>
      <c r="CO197" s="26"/>
      <c r="CP197" s="35"/>
      <c r="CQ197" s="25"/>
      <c r="CR197" s="26"/>
      <c r="CS197" s="26"/>
      <c r="CT197" s="35"/>
      <c r="CU197" s="25"/>
      <c r="CV197" s="26"/>
      <c r="CW197" s="26"/>
      <c r="CX197" s="35"/>
      <c r="CY197" s="25"/>
      <c r="CZ197" s="26"/>
      <c r="DA197" s="26"/>
      <c r="DB197" s="35"/>
      <c r="DC197" s="25"/>
      <c r="DD197" s="26"/>
      <c r="DE197" s="26"/>
      <c r="DF197" s="35"/>
      <c r="DG197" s="25"/>
      <c r="DH197" s="26"/>
      <c r="DI197" s="26"/>
      <c r="DJ197" s="35"/>
      <c r="DK197" s="25"/>
      <c r="DL197" s="26"/>
      <c r="DM197" s="26"/>
      <c r="DN197" s="35"/>
      <c r="DO197" s="25"/>
      <c r="DP197" s="26"/>
      <c r="DQ197" s="26"/>
      <c r="DR197" s="35"/>
      <c r="DS197" s="25"/>
      <c r="DT197" s="26"/>
      <c r="DU197" s="26"/>
      <c r="DV197" s="35"/>
      <c r="DW197" s="25"/>
      <c r="DX197" s="26"/>
      <c r="DY197" s="26"/>
      <c r="DZ197" s="35"/>
      <c r="EA197" s="25"/>
      <c r="EB197" s="26"/>
      <c r="EC197" s="26"/>
      <c r="ED197" s="35"/>
      <c r="EE197" s="25"/>
      <c r="EF197" s="26"/>
      <c r="EG197" s="26"/>
      <c r="EH197" s="35"/>
      <c r="EI197" s="25"/>
      <c r="EJ197" s="26"/>
      <c r="EK197" s="26"/>
      <c r="EL197" s="35"/>
      <c r="EM197" s="25"/>
      <c r="EN197" s="26"/>
      <c r="EO197" s="26"/>
      <c r="EP197" s="35"/>
      <c r="EQ197" s="25"/>
      <c r="ER197" s="26"/>
      <c r="ES197" s="26"/>
      <c r="ET197" s="35"/>
      <c r="EU197" s="25"/>
      <c r="EV197" s="26"/>
      <c r="EW197" s="26"/>
      <c r="EX197" s="35"/>
      <c r="EY197" s="25"/>
      <c r="EZ197" s="26"/>
      <c r="FA197" s="26"/>
      <c r="FB197" s="35"/>
      <c r="FC197" s="25"/>
      <c r="FD197" s="26"/>
      <c r="FE197" s="26"/>
      <c r="FF197" s="35"/>
      <c r="FG197" s="25"/>
      <c r="FH197" s="26"/>
      <c r="FI197" s="26"/>
      <c r="FJ197" s="35"/>
      <c r="FK197" s="25"/>
      <c r="FL197" s="26"/>
      <c r="FM197" s="26"/>
      <c r="FN197" s="35"/>
      <c r="FO197" s="25"/>
      <c r="FP197" s="26"/>
      <c r="FQ197" s="26"/>
      <c r="FR197" s="35"/>
      <c r="FS197" s="25"/>
      <c r="FT197" s="26"/>
      <c r="FU197" s="26"/>
      <c r="FV197" s="35"/>
      <c r="FW197" s="25"/>
      <c r="FX197" s="26"/>
      <c r="FY197" s="26"/>
      <c r="FZ197" s="35"/>
      <c r="GA197" s="25"/>
      <c r="GB197" s="26"/>
      <c r="GC197" s="26"/>
      <c r="GD197" s="35"/>
      <c r="GE197" s="25"/>
      <c r="GF197" s="26"/>
      <c r="GG197" s="26"/>
      <c r="GH197" s="35"/>
      <c r="GI197" s="25"/>
      <c r="GJ197" s="26"/>
      <c r="GK197" s="26"/>
      <c r="GL197" s="35"/>
      <c r="GM197" s="25"/>
      <c r="GN197" s="26"/>
      <c r="GO197" s="26"/>
      <c r="GP197" s="35"/>
      <c r="GQ197" s="25"/>
      <c r="GR197" s="26"/>
      <c r="GS197" s="26"/>
      <c r="GT197" s="35"/>
      <c r="GU197" s="25"/>
      <c r="GV197" s="26"/>
      <c r="GW197" s="26"/>
      <c r="GX197" s="35"/>
      <c r="GY197" s="25"/>
      <c r="GZ197" s="26"/>
      <c r="HA197" s="26"/>
      <c r="HB197" s="35"/>
      <c r="HC197" s="25"/>
      <c r="HD197" s="26"/>
      <c r="HE197" s="26"/>
      <c r="HF197" s="35"/>
      <c r="HG197" s="25"/>
      <c r="HH197" s="26"/>
      <c r="HI197" s="26"/>
      <c r="HJ197" s="35"/>
      <c r="HK197" s="25"/>
      <c r="HL197" s="26"/>
      <c r="HM197" s="26"/>
      <c r="HN197" s="35"/>
      <c r="HO197" s="25"/>
      <c r="HP197" s="26"/>
      <c r="HQ197" s="26"/>
      <c r="HR197" s="35"/>
      <c r="HS197" s="25"/>
      <c r="HT197" s="26"/>
      <c r="HU197" s="26"/>
      <c r="HV197" s="35"/>
      <c r="HW197" s="25"/>
      <c r="HX197" s="26"/>
      <c r="HY197" s="26"/>
      <c r="HZ197" s="35"/>
      <c r="IA197" s="25"/>
      <c r="IB197" s="26"/>
      <c r="IC197" s="26"/>
      <c r="ID197" s="35"/>
      <c r="IE197" s="25"/>
      <c r="IF197" s="26"/>
      <c r="IG197" s="26"/>
      <c r="IH197" s="35"/>
      <c r="II197" s="25"/>
      <c r="IJ197" s="26"/>
      <c r="IK197" s="26"/>
      <c r="IL197" s="35"/>
      <c r="IM197" s="25"/>
      <c r="IN197" s="26"/>
      <c r="IO197" s="26"/>
      <c r="IP197" s="35"/>
      <c r="IQ197" s="25"/>
      <c r="IR197" s="26"/>
      <c r="IS197" s="26"/>
      <c r="IT197" s="35"/>
      <c r="IU197" s="25"/>
      <c r="IV197" s="26"/>
    </row>
    <row r="198" spans="2:256" ht="30" customHeight="1" x14ac:dyDescent="0.25">
      <c r="B198" s="14">
        <v>1610</v>
      </c>
      <c r="C198" s="143">
        <v>347300.93</v>
      </c>
      <c r="D198" s="103" t="s">
        <v>678</v>
      </c>
      <c r="E198" s="126">
        <v>80000</v>
      </c>
      <c r="F198" s="105"/>
      <c r="G198" s="126">
        <v>169406</v>
      </c>
      <c r="H198" s="126">
        <v>110000</v>
      </c>
      <c r="I198" s="104">
        <f t="shared" si="58"/>
        <v>1.3333333333333333</v>
      </c>
      <c r="J198" s="176"/>
      <c r="K198" s="107">
        <v>142000</v>
      </c>
      <c r="L198" s="108">
        <v>106635</v>
      </c>
      <c r="M198" s="107">
        <v>79321</v>
      </c>
      <c r="N198" s="108"/>
      <c r="O198" s="109">
        <f t="shared" si="70"/>
        <v>105761.33333333333</v>
      </c>
      <c r="P198" s="109">
        <v>61784</v>
      </c>
      <c r="Q198" s="109">
        <f t="shared" si="69"/>
        <v>61784</v>
      </c>
      <c r="R198" s="107">
        <v>105000</v>
      </c>
      <c r="S198" s="107">
        <v>115300</v>
      </c>
      <c r="T198" s="107">
        <f t="shared" si="65"/>
        <v>123568</v>
      </c>
      <c r="U198" s="107">
        <f>S198*1.02</f>
        <v>117606</v>
      </c>
      <c r="V198" s="107">
        <v>58080</v>
      </c>
      <c r="W198" s="107">
        <f>V198*2</f>
        <v>116160</v>
      </c>
      <c r="X198" s="110">
        <f t="shared" si="67"/>
        <v>116160</v>
      </c>
      <c r="Y198" s="107">
        <v>107457</v>
      </c>
      <c r="Z198" s="107">
        <f t="shared" si="71"/>
        <v>128948.4</v>
      </c>
      <c r="AA198" s="110">
        <v>159000</v>
      </c>
      <c r="AB198" s="110">
        <v>145775</v>
      </c>
      <c r="AC198" s="110">
        <v>175000</v>
      </c>
      <c r="AD198" s="108">
        <f t="shared" si="68"/>
        <v>175000</v>
      </c>
      <c r="AE198" s="107">
        <v>150000</v>
      </c>
      <c r="AF198" s="107">
        <v>150000</v>
      </c>
      <c r="AG198" s="26"/>
      <c r="AH198" s="26"/>
      <c r="AI198" s="35"/>
      <c r="AJ198" s="25"/>
      <c r="AK198" s="26"/>
      <c r="AL198" s="26"/>
      <c r="AM198" s="35"/>
      <c r="AN198" s="25"/>
      <c r="AO198" s="26"/>
      <c r="AP198" s="35"/>
      <c r="AQ198" s="25"/>
      <c r="AR198" s="26"/>
      <c r="AS198" s="26"/>
      <c r="AT198" s="35"/>
      <c r="AU198" s="25"/>
      <c r="AV198" s="26"/>
      <c r="AW198" s="35"/>
      <c r="AX198" s="26"/>
      <c r="AY198" s="26"/>
      <c r="AZ198" s="35"/>
      <c r="BA198" s="26"/>
      <c r="BB198" s="35"/>
      <c r="BC198" s="25"/>
      <c r="BD198" s="26"/>
      <c r="BE198" s="26"/>
      <c r="BF198" s="35"/>
      <c r="BG198" s="25"/>
      <c r="BH198" s="26"/>
      <c r="BI198" s="26"/>
      <c r="BJ198" s="35"/>
      <c r="BK198" s="25"/>
      <c r="BL198" s="26"/>
      <c r="BM198" s="26"/>
      <c r="BN198" s="35"/>
      <c r="BO198" s="25"/>
      <c r="BP198" s="26"/>
      <c r="BQ198" s="26"/>
      <c r="BR198" s="35"/>
      <c r="BS198" s="25"/>
      <c r="BT198" s="26"/>
      <c r="BU198" s="26"/>
      <c r="BV198" s="35"/>
      <c r="BW198" s="25"/>
      <c r="BX198" s="26"/>
      <c r="BY198" s="26"/>
      <c r="BZ198" s="35"/>
      <c r="CA198" s="25"/>
      <c r="CB198" s="26"/>
      <c r="CC198" s="26"/>
      <c r="CD198" s="35"/>
      <c r="CE198" s="25"/>
      <c r="CF198" s="26"/>
      <c r="CG198" s="26"/>
      <c r="CH198" s="35"/>
      <c r="CI198" s="25"/>
      <c r="CJ198" s="26"/>
      <c r="CK198" s="26"/>
      <c r="CL198" s="35"/>
      <c r="CM198" s="25"/>
      <c r="CN198" s="26"/>
      <c r="CO198" s="26"/>
      <c r="CP198" s="35"/>
      <c r="CQ198" s="25"/>
      <c r="CR198" s="26"/>
      <c r="CS198" s="26"/>
      <c r="CT198" s="35"/>
      <c r="CU198" s="25"/>
      <c r="CV198" s="26"/>
      <c r="CW198" s="26"/>
      <c r="CX198" s="35"/>
      <c r="CY198" s="25"/>
      <c r="CZ198" s="26"/>
      <c r="DA198" s="26"/>
      <c r="DB198" s="35"/>
      <c r="DC198" s="25"/>
      <c r="DD198" s="26"/>
      <c r="DE198" s="26"/>
      <c r="DF198" s="35"/>
      <c r="DG198" s="25"/>
      <c r="DH198" s="26"/>
      <c r="DI198" s="26"/>
      <c r="DJ198" s="35"/>
      <c r="DK198" s="25"/>
      <c r="DL198" s="26"/>
      <c r="DM198" s="26"/>
      <c r="DN198" s="35"/>
      <c r="DO198" s="25"/>
      <c r="DP198" s="26"/>
      <c r="DQ198" s="26"/>
      <c r="DR198" s="35"/>
      <c r="DS198" s="25"/>
      <c r="DT198" s="26"/>
      <c r="DU198" s="26"/>
      <c r="DV198" s="35"/>
      <c r="DW198" s="25"/>
      <c r="DX198" s="26"/>
      <c r="DY198" s="26"/>
      <c r="DZ198" s="35"/>
      <c r="EA198" s="25"/>
      <c r="EB198" s="26"/>
      <c r="EC198" s="26"/>
      <c r="ED198" s="35"/>
      <c r="EE198" s="25"/>
      <c r="EF198" s="26"/>
      <c r="EG198" s="26"/>
      <c r="EH198" s="35"/>
      <c r="EI198" s="25"/>
      <c r="EJ198" s="26"/>
      <c r="EK198" s="26"/>
      <c r="EL198" s="35"/>
      <c r="EM198" s="25"/>
      <c r="EN198" s="26"/>
      <c r="EO198" s="26"/>
      <c r="EP198" s="35"/>
      <c r="EQ198" s="25"/>
      <c r="ER198" s="26"/>
      <c r="ES198" s="26"/>
      <c r="ET198" s="35"/>
      <c r="EU198" s="25"/>
      <c r="EV198" s="26"/>
      <c r="EW198" s="26"/>
      <c r="EX198" s="35"/>
      <c r="EY198" s="25"/>
      <c r="EZ198" s="26"/>
      <c r="FA198" s="26"/>
      <c r="FB198" s="35"/>
      <c r="FC198" s="25"/>
      <c r="FD198" s="26"/>
      <c r="FE198" s="26"/>
      <c r="FF198" s="35"/>
      <c r="FG198" s="25"/>
      <c r="FH198" s="26"/>
      <c r="FI198" s="26"/>
      <c r="FJ198" s="35"/>
      <c r="FK198" s="25"/>
      <c r="FL198" s="26"/>
      <c r="FM198" s="26"/>
      <c r="FN198" s="35"/>
      <c r="FO198" s="25"/>
      <c r="FP198" s="26"/>
      <c r="FQ198" s="26"/>
      <c r="FR198" s="35"/>
      <c r="FS198" s="25"/>
      <c r="FT198" s="26"/>
      <c r="FU198" s="26"/>
      <c r="FV198" s="35"/>
      <c r="FW198" s="25"/>
      <c r="FX198" s="26"/>
      <c r="FY198" s="26"/>
      <c r="FZ198" s="35"/>
      <c r="GA198" s="25"/>
      <c r="GB198" s="26"/>
      <c r="GC198" s="26"/>
      <c r="GD198" s="35"/>
      <c r="GE198" s="25"/>
      <c r="GF198" s="26"/>
      <c r="GG198" s="26"/>
      <c r="GH198" s="35"/>
      <c r="GI198" s="25"/>
      <c r="GJ198" s="26"/>
      <c r="GK198" s="26"/>
      <c r="GL198" s="35"/>
      <c r="GM198" s="25"/>
      <c r="GN198" s="26"/>
      <c r="GO198" s="26"/>
      <c r="GP198" s="35"/>
      <c r="GQ198" s="25"/>
      <c r="GR198" s="26"/>
      <c r="GS198" s="26"/>
      <c r="GT198" s="35"/>
      <c r="GU198" s="25"/>
      <c r="GV198" s="26"/>
      <c r="GW198" s="26"/>
      <c r="GX198" s="35"/>
      <c r="GY198" s="25"/>
      <c r="GZ198" s="26"/>
      <c r="HA198" s="26"/>
      <c r="HB198" s="35"/>
      <c r="HC198" s="25"/>
      <c r="HD198" s="26"/>
      <c r="HE198" s="26"/>
      <c r="HF198" s="35"/>
      <c r="HG198" s="25"/>
      <c r="HH198" s="26"/>
      <c r="HI198" s="26"/>
      <c r="HJ198" s="35"/>
      <c r="HK198" s="25"/>
      <c r="HL198" s="26"/>
      <c r="HM198" s="26"/>
      <c r="HN198" s="35"/>
      <c r="HO198" s="25"/>
      <c r="HP198" s="26"/>
      <c r="HQ198" s="26"/>
      <c r="HR198" s="35"/>
      <c r="HS198" s="25"/>
      <c r="HT198" s="26"/>
      <c r="HU198" s="26"/>
      <c r="HV198" s="35"/>
      <c r="HW198" s="25"/>
      <c r="HX198" s="26"/>
      <c r="HY198" s="26"/>
      <c r="HZ198" s="35"/>
      <c r="IA198" s="25"/>
      <c r="IB198" s="26"/>
      <c r="IC198" s="26"/>
      <c r="ID198" s="35"/>
      <c r="IE198" s="25"/>
      <c r="IF198" s="26"/>
      <c r="IG198" s="26"/>
      <c r="IH198" s="35"/>
      <c r="II198" s="25"/>
      <c r="IJ198" s="26"/>
      <c r="IK198" s="26"/>
      <c r="IL198" s="35"/>
      <c r="IM198" s="25"/>
      <c r="IN198" s="26"/>
      <c r="IO198" s="26"/>
      <c r="IP198" s="35"/>
      <c r="IQ198" s="25"/>
      <c r="IR198" s="26"/>
      <c r="IS198" s="26"/>
      <c r="IT198" s="35"/>
      <c r="IU198" s="25"/>
      <c r="IV198" s="26"/>
    </row>
    <row r="199" spans="2:256" ht="30" customHeight="1" x14ac:dyDescent="0.25">
      <c r="B199" s="14">
        <v>670427</v>
      </c>
      <c r="C199" s="102">
        <v>347400.93</v>
      </c>
      <c r="D199" s="103" t="s">
        <v>325</v>
      </c>
      <c r="E199" s="126">
        <v>800000</v>
      </c>
      <c r="F199" s="105"/>
      <c r="G199" s="126">
        <v>776672</v>
      </c>
      <c r="H199" s="126">
        <v>820000</v>
      </c>
      <c r="I199" s="104">
        <f t="shared" si="58"/>
        <v>1.3333333333333333</v>
      </c>
      <c r="J199" s="176"/>
      <c r="K199" s="107">
        <v>755000</v>
      </c>
      <c r="L199" s="108">
        <v>565201</v>
      </c>
      <c r="M199" s="107">
        <v>772251</v>
      </c>
      <c r="N199" s="108"/>
      <c r="O199" s="109">
        <f t="shared" si="70"/>
        <v>1029668</v>
      </c>
      <c r="P199" s="109">
        <v>651763</v>
      </c>
      <c r="Q199" s="109">
        <f t="shared" si="69"/>
        <v>651763</v>
      </c>
      <c r="R199" s="107">
        <v>1029688</v>
      </c>
      <c r="S199" s="107">
        <v>1287000</v>
      </c>
      <c r="T199" s="107">
        <f t="shared" si="65"/>
        <v>1303526</v>
      </c>
      <c r="U199" s="107">
        <f>S199*1.02</f>
        <v>1312740</v>
      </c>
      <c r="V199" s="107">
        <v>630393</v>
      </c>
      <c r="W199" s="107">
        <f>V199*2</f>
        <v>1260786</v>
      </c>
      <c r="X199" s="110">
        <f t="shared" si="67"/>
        <v>1260786</v>
      </c>
      <c r="Y199" s="107">
        <v>1021818</v>
      </c>
      <c r="Z199" s="107">
        <f t="shared" si="71"/>
        <v>1226181.6000000001</v>
      </c>
      <c r="AA199" s="110">
        <v>1427000</v>
      </c>
      <c r="AB199" s="110">
        <v>938500</v>
      </c>
      <c r="AC199" s="110">
        <v>1126000</v>
      </c>
      <c r="AD199" s="108">
        <f t="shared" si="68"/>
        <v>1126000</v>
      </c>
      <c r="AE199" s="107">
        <v>1150000</v>
      </c>
      <c r="AF199" s="107">
        <v>1150000</v>
      </c>
      <c r="AG199" s="26"/>
      <c r="AH199" s="26"/>
      <c r="AI199" s="35"/>
      <c r="AJ199" s="25"/>
      <c r="AK199" s="26"/>
      <c r="AL199" s="26"/>
      <c r="AM199" s="35"/>
      <c r="AN199" s="25"/>
      <c r="AO199" s="26"/>
      <c r="AP199" s="35"/>
      <c r="AQ199" s="25"/>
      <c r="AR199" s="26"/>
      <c r="AS199" s="26"/>
      <c r="AT199" s="35"/>
      <c r="AU199" s="25"/>
      <c r="AV199" s="26"/>
      <c r="AW199" s="35"/>
      <c r="AX199" s="26"/>
      <c r="AY199" s="26"/>
      <c r="AZ199" s="35"/>
      <c r="BA199" s="26"/>
      <c r="BB199" s="35"/>
      <c r="BC199" s="25"/>
      <c r="BD199" s="26"/>
      <c r="BE199" s="26"/>
      <c r="BF199" s="35"/>
      <c r="BG199" s="25"/>
      <c r="BH199" s="26"/>
      <c r="BI199" s="26"/>
      <c r="BJ199" s="35"/>
      <c r="BK199" s="25"/>
      <c r="BL199" s="26"/>
      <c r="BM199" s="26"/>
      <c r="BN199" s="35"/>
      <c r="BO199" s="25"/>
      <c r="BP199" s="26"/>
      <c r="BQ199" s="26"/>
      <c r="BR199" s="35"/>
      <c r="BS199" s="25"/>
      <c r="BT199" s="26"/>
      <c r="BU199" s="26"/>
      <c r="BV199" s="35"/>
      <c r="BW199" s="25"/>
      <c r="BX199" s="26"/>
      <c r="BY199" s="26"/>
      <c r="BZ199" s="35"/>
      <c r="CA199" s="25"/>
      <c r="CB199" s="26"/>
      <c r="CC199" s="26"/>
      <c r="CD199" s="35"/>
      <c r="CE199" s="25"/>
      <c r="CF199" s="26"/>
      <c r="CG199" s="26"/>
      <c r="CH199" s="35"/>
      <c r="CI199" s="25"/>
      <c r="CJ199" s="26"/>
      <c r="CK199" s="26"/>
      <c r="CL199" s="35"/>
      <c r="CM199" s="25"/>
      <c r="CN199" s="26"/>
      <c r="CO199" s="26"/>
      <c r="CP199" s="35"/>
      <c r="CQ199" s="25"/>
      <c r="CR199" s="26"/>
      <c r="CS199" s="26"/>
      <c r="CT199" s="35"/>
      <c r="CU199" s="25"/>
      <c r="CV199" s="26"/>
      <c r="CW199" s="26"/>
      <c r="CX199" s="35"/>
      <c r="CY199" s="25"/>
      <c r="CZ199" s="26"/>
      <c r="DA199" s="26"/>
      <c r="DB199" s="35"/>
      <c r="DC199" s="25"/>
      <c r="DD199" s="26"/>
      <c r="DE199" s="26"/>
      <c r="DF199" s="35"/>
      <c r="DG199" s="25"/>
      <c r="DH199" s="26"/>
      <c r="DI199" s="26"/>
      <c r="DJ199" s="35"/>
      <c r="DK199" s="25"/>
      <c r="DL199" s="26"/>
      <c r="DM199" s="26"/>
      <c r="DN199" s="35"/>
      <c r="DO199" s="25"/>
      <c r="DP199" s="26"/>
      <c r="DQ199" s="26"/>
      <c r="DR199" s="35"/>
      <c r="DS199" s="25"/>
      <c r="DT199" s="26"/>
      <c r="DU199" s="26"/>
      <c r="DV199" s="35"/>
      <c r="DW199" s="25"/>
      <c r="DX199" s="26"/>
      <c r="DY199" s="26"/>
      <c r="DZ199" s="35"/>
      <c r="EA199" s="25"/>
      <c r="EB199" s="26"/>
      <c r="EC199" s="26"/>
      <c r="ED199" s="35"/>
      <c r="EE199" s="25"/>
      <c r="EF199" s="26"/>
      <c r="EG199" s="26"/>
      <c r="EH199" s="35"/>
      <c r="EI199" s="25"/>
      <c r="EJ199" s="26"/>
      <c r="EK199" s="26"/>
      <c r="EL199" s="35"/>
      <c r="EM199" s="25"/>
      <c r="EN199" s="26"/>
      <c r="EO199" s="26"/>
      <c r="EP199" s="35"/>
      <c r="EQ199" s="25"/>
      <c r="ER199" s="26"/>
      <c r="ES199" s="26"/>
      <c r="ET199" s="35"/>
      <c r="EU199" s="25"/>
      <c r="EV199" s="26"/>
      <c r="EW199" s="26"/>
      <c r="EX199" s="35"/>
      <c r="EY199" s="25"/>
      <c r="EZ199" s="26"/>
      <c r="FA199" s="26"/>
      <c r="FB199" s="35"/>
      <c r="FC199" s="25"/>
      <c r="FD199" s="26"/>
      <c r="FE199" s="26"/>
      <c r="FF199" s="35"/>
      <c r="FG199" s="25"/>
      <c r="FH199" s="26"/>
      <c r="FI199" s="26"/>
      <c r="FJ199" s="35"/>
      <c r="FK199" s="25"/>
      <c r="FL199" s="26"/>
      <c r="FM199" s="26"/>
      <c r="FN199" s="35"/>
      <c r="FO199" s="25"/>
      <c r="FP199" s="26"/>
      <c r="FQ199" s="26"/>
      <c r="FR199" s="35"/>
      <c r="FS199" s="25"/>
      <c r="FT199" s="26"/>
      <c r="FU199" s="26"/>
      <c r="FV199" s="35"/>
      <c r="FW199" s="25"/>
      <c r="FX199" s="26"/>
      <c r="FY199" s="26"/>
      <c r="FZ199" s="35"/>
      <c r="GA199" s="25"/>
      <c r="GB199" s="26"/>
      <c r="GC199" s="26"/>
      <c r="GD199" s="35"/>
      <c r="GE199" s="25"/>
      <c r="GF199" s="26"/>
      <c r="GG199" s="26"/>
      <c r="GH199" s="35"/>
      <c r="GI199" s="25"/>
      <c r="GJ199" s="26"/>
      <c r="GK199" s="26"/>
      <c r="GL199" s="35"/>
      <c r="GM199" s="25"/>
      <c r="GN199" s="26"/>
      <c r="GO199" s="26"/>
      <c r="GP199" s="35"/>
      <c r="GQ199" s="25"/>
      <c r="GR199" s="26"/>
      <c r="GS199" s="26"/>
      <c r="GT199" s="35"/>
      <c r="GU199" s="25"/>
      <c r="GV199" s="26"/>
      <c r="GW199" s="26"/>
      <c r="GX199" s="35"/>
      <c r="GY199" s="25"/>
      <c r="GZ199" s="26"/>
      <c r="HA199" s="26"/>
      <c r="HB199" s="35"/>
      <c r="HC199" s="25"/>
      <c r="HD199" s="26"/>
      <c r="HE199" s="26"/>
      <c r="HF199" s="35"/>
      <c r="HG199" s="25"/>
      <c r="HH199" s="26"/>
      <c r="HI199" s="26"/>
      <c r="HJ199" s="35"/>
      <c r="HK199" s="25"/>
      <c r="HL199" s="26"/>
      <c r="HM199" s="26"/>
      <c r="HN199" s="35"/>
      <c r="HO199" s="25"/>
      <c r="HP199" s="26"/>
      <c r="HQ199" s="26"/>
      <c r="HR199" s="35"/>
      <c r="HS199" s="25"/>
      <c r="HT199" s="26"/>
      <c r="HU199" s="26"/>
      <c r="HV199" s="35"/>
      <c r="HW199" s="25"/>
      <c r="HX199" s="26"/>
      <c r="HY199" s="26"/>
      <c r="HZ199" s="35"/>
      <c r="IA199" s="25"/>
      <c r="IB199" s="26"/>
      <c r="IC199" s="26"/>
      <c r="ID199" s="35"/>
      <c r="IE199" s="25"/>
      <c r="IF199" s="26"/>
      <c r="IG199" s="26"/>
      <c r="IH199" s="35"/>
      <c r="II199" s="25"/>
      <c r="IJ199" s="26"/>
      <c r="IK199" s="26"/>
      <c r="IL199" s="35"/>
      <c r="IM199" s="25"/>
      <c r="IN199" s="26"/>
      <c r="IO199" s="26"/>
      <c r="IP199" s="35"/>
      <c r="IQ199" s="25"/>
      <c r="IR199" s="26"/>
      <c r="IS199" s="26"/>
      <c r="IT199" s="35"/>
      <c r="IU199" s="25"/>
      <c r="IV199" s="26"/>
    </row>
    <row r="200" spans="2:256" ht="30" customHeight="1" x14ac:dyDescent="0.25">
      <c r="B200" s="14">
        <v>4730</v>
      </c>
      <c r="C200" s="102">
        <v>348200.93</v>
      </c>
      <c r="D200" s="103" t="s">
        <v>326</v>
      </c>
      <c r="E200" s="126">
        <v>11000</v>
      </c>
      <c r="F200" s="105"/>
      <c r="G200" s="126">
        <v>0</v>
      </c>
      <c r="H200" s="126">
        <v>10000</v>
      </c>
      <c r="I200" s="104">
        <f t="shared" si="58"/>
        <v>1.3333333333333333</v>
      </c>
      <c r="J200" s="176"/>
      <c r="K200" s="107">
        <v>15000</v>
      </c>
      <c r="L200" s="108">
        <v>11160</v>
      </c>
      <c r="M200" s="107">
        <v>0</v>
      </c>
      <c r="N200" s="108"/>
      <c r="O200" s="109">
        <f t="shared" si="70"/>
        <v>0</v>
      </c>
      <c r="P200" s="109"/>
      <c r="Q200" s="109">
        <f t="shared" si="69"/>
        <v>0</v>
      </c>
      <c r="R200" s="107">
        <v>0</v>
      </c>
      <c r="S200" s="107">
        <v>0</v>
      </c>
      <c r="T200" s="107">
        <f t="shared" si="65"/>
        <v>0</v>
      </c>
      <c r="U200" s="107">
        <v>55000</v>
      </c>
      <c r="V200" s="107">
        <v>10000</v>
      </c>
      <c r="W200" s="107">
        <f>V200*2</f>
        <v>20000</v>
      </c>
      <c r="X200" s="110">
        <f t="shared" si="67"/>
        <v>20000</v>
      </c>
      <c r="Y200" s="107"/>
      <c r="Z200" s="107">
        <f t="shared" si="71"/>
        <v>0</v>
      </c>
      <c r="AA200" s="110">
        <v>10000</v>
      </c>
      <c r="AB200" s="110">
        <v>6450</v>
      </c>
      <c r="AC200" s="110">
        <v>8000</v>
      </c>
      <c r="AD200" s="108">
        <f t="shared" si="68"/>
        <v>8000</v>
      </c>
      <c r="AE200" s="107"/>
      <c r="AF200" s="108"/>
      <c r="AG200" s="26"/>
      <c r="AH200" s="26"/>
      <c r="AI200" s="35"/>
      <c r="AJ200" s="25"/>
      <c r="AK200" s="26"/>
      <c r="AL200" s="26"/>
      <c r="AM200" s="35"/>
      <c r="AN200" s="25"/>
      <c r="AO200" s="26"/>
      <c r="AP200" s="35"/>
      <c r="AQ200" s="25"/>
      <c r="AR200" s="26"/>
      <c r="AS200" s="26"/>
      <c r="AT200" s="35"/>
      <c r="AU200" s="25"/>
      <c r="AV200" s="26"/>
      <c r="AW200" s="35"/>
      <c r="AX200" s="26"/>
      <c r="AY200" s="26"/>
      <c r="AZ200" s="35"/>
      <c r="BA200" s="26"/>
      <c r="BB200" s="35"/>
      <c r="BC200" s="25"/>
      <c r="BD200" s="26"/>
      <c r="BE200" s="26"/>
      <c r="BF200" s="35"/>
      <c r="BG200" s="25"/>
      <c r="BH200" s="26"/>
      <c r="BI200" s="26"/>
      <c r="BJ200" s="35"/>
      <c r="BK200" s="25"/>
      <c r="BL200" s="26"/>
      <c r="BM200" s="26"/>
      <c r="BN200" s="35"/>
      <c r="BO200" s="25"/>
      <c r="BP200" s="26"/>
      <c r="BQ200" s="26"/>
      <c r="BR200" s="35"/>
      <c r="BS200" s="25"/>
      <c r="BT200" s="26"/>
      <c r="BU200" s="26"/>
      <c r="BV200" s="35"/>
      <c r="BW200" s="25"/>
      <c r="BX200" s="26"/>
      <c r="BY200" s="26"/>
      <c r="BZ200" s="35"/>
      <c r="CA200" s="25"/>
      <c r="CB200" s="26"/>
      <c r="CC200" s="26"/>
      <c r="CD200" s="35"/>
      <c r="CE200" s="25"/>
      <c r="CF200" s="26"/>
      <c r="CG200" s="26"/>
      <c r="CH200" s="35"/>
      <c r="CI200" s="25"/>
      <c r="CJ200" s="26"/>
      <c r="CK200" s="26"/>
      <c r="CL200" s="35"/>
      <c r="CM200" s="25"/>
      <c r="CN200" s="26"/>
      <c r="CO200" s="26"/>
      <c r="CP200" s="35"/>
      <c r="CQ200" s="25"/>
      <c r="CR200" s="26"/>
      <c r="CS200" s="26"/>
      <c r="CT200" s="35"/>
      <c r="CU200" s="25"/>
      <c r="CV200" s="26"/>
      <c r="CW200" s="26"/>
      <c r="CX200" s="35"/>
      <c r="CY200" s="25"/>
      <c r="CZ200" s="26"/>
      <c r="DA200" s="26"/>
      <c r="DB200" s="35"/>
      <c r="DC200" s="25"/>
      <c r="DD200" s="26"/>
      <c r="DE200" s="26"/>
      <c r="DF200" s="35"/>
      <c r="DG200" s="25"/>
      <c r="DH200" s="26"/>
      <c r="DI200" s="26"/>
      <c r="DJ200" s="35"/>
      <c r="DK200" s="25"/>
      <c r="DL200" s="26"/>
      <c r="DM200" s="26"/>
      <c r="DN200" s="35"/>
      <c r="DO200" s="25"/>
      <c r="DP200" s="26"/>
      <c r="DQ200" s="26"/>
      <c r="DR200" s="35"/>
      <c r="DS200" s="25"/>
      <c r="DT200" s="26"/>
      <c r="DU200" s="26"/>
      <c r="DV200" s="35"/>
      <c r="DW200" s="25"/>
      <c r="DX200" s="26"/>
      <c r="DY200" s="26"/>
      <c r="DZ200" s="35"/>
      <c r="EA200" s="25"/>
      <c r="EB200" s="26"/>
      <c r="EC200" s="26"/>
      <c r="ED200" s="35"/>
      <c r="EE200" s="25"/>
      <c r="EF200" s="26"/>
      <c r="EG200" s="26"/>
      <c r="EH200" s="35"/>
      <c r="EI200" s="25"/>
      <c r="EJ200" s="26"/>
      <c r="EK200" s="26"/>
      <c r="EL200" s="35"/>
      <c r="EM200" s="25"/>
      <c r="EN200" s="26"/>
      <c r="EO200" s="26"/>
      <c r="EP200" s="35"/>
      <c r="EQ200" s="25"/>
      <c r="ER200" s="26"/>
      <c r="ES200" s="26"/>
      <c r="ET200" s="35"/>
      <c r="EU200" s="25"/>
      <c r="EV200" s="26"/>
      <c r="EW200" s="26"/>
      <c r="EX200" s="35"/>
      <c r="EY200" s="25"/>
      <c r="EZ200" s="26"/>
      <c r="FA200" s="26"/>
      <c r="FB200" s="35"/>
      <c r="FC200" s="25"/>
      <c r="FD200" s="26"/>
      <c r="FE200" s="26"/>
      <c r="FF200" s="35"/>
      <c r="FG200" s="25"/>
      <c r="FH200" s="26"/>
      <c r="FI200" s="26"/>
      <c r="FJ200" s="35"/>
      <c r="FK200" s="25"/>
      <c r="FL200" s="26"/>
      <c r="FM200" s="26"/>
      <c r="FN200" s="35"/>
      <c r="FO200" s="25"/>
      <c r="FP200" s="26"/>
      <c r="FQ200" s="26"/>
      <c r="FR200" s="35"/>
      <c r="FS200" s="25"/>
      <c r="FT200" s="26"/>
      <c r="FU200" s="26"/>
      <c r="FV200" s="35"/>
      <c r="FW200" s="25"/>
      <c r="FX200" s="26"/>
      <c r="FY200" s="26"/>
      <c r="FZ200" s="35"/>
      <c r="GA200" s="25"/>
      <c r="GB200" s="26"/>
      <c r="GC200" s="26"/>
      <c r="GD200" s="35"/>
      <c r="GE200" s="25"/>
      <c r="GF200" s="26"/>
      <c r="GG200" s="26"/>
      <c r="GH200" s="35"/>
      <c r="GI200" s="25"/>
      <c r="GJ200" s="26"/>
      <c r="GK200" s="26"/>
      <c r="GL200" s="35"/>
      <c r="GM200" s="25"/>
      <c r="GN200" s="26"/>
      <c r="GO200" s="26"/>
      <c r="GP200" s="35"/>
      <c r="GQ200" s="25"/>
      <c r="GR200" s="26"/>
      <c r="GS200" s="26"/>
      <c r="GT200" s="35"/>
      <c r="GU200" s="25"/>
      <c r="GV200" s="26"/>
      <c r="GW200" s="26"/>
      <c r="GX200" s="35"/>
      <c r="GY200" s="25"/>
      <c r="GZ200" s="26"/>
      <c r="HA200" s="26"/>
      <c r="HB200" s="35"/>
      <c r="HC200" s="25"/>
      <c r="HD200" s="26"/>
      <c r="HE200" s="26"/>
      <c r="HF200" s="35"/>
      <c r="HG200" s="25"/>
      <c r="HH200" s="26"/>
      <c r="HI200" s="26"/>
      <c r="HJ200" s="35"/>
      <c r="HK200" s="25"/>
      <c r="HL200" s="26"/>
      <c r="HM200" s="26"/>
      <c r="HN200" s="35"/>
      <c r="HO200" s="25"/>
      <c r="HP200" s="26"/>
      <c r="HQ200" s="26"/>
      <c r="HR200" s="35"/>
      <c r="HS200" s="25"/>
      <c r="HT200" s="26"/>
      <c r="HU200" s="26"/>
      <c r="HV200" s="35"/>
      <c r="HW200" s="25"/>
      <c r="HX200" s="26"/>
      <c r="HY200" s="26"/>
      <c r="HZ200" s="35"/>
      <c r="IA200" s="25"/>
      <c r="IB200" s="26"/>
      <c r="IC200" s="26"/>
      <c r="ID200" s="35"/>
      <c r="IE200" s="25"/>
      <c r="IF200" s="26"/>
      <c r="IG200" s="26"/>
      <c r="IH200" s="35"/>
      <c r="II200" s="25"/>
      <c r="IJ200" s="26"/>
      <c r="IK200" s="26"/>
      <c r="IL200" s="35"/>
      <c r="IM200" s="25"/>
      <c r="IN200" s="26"/>
      <c r="IO200" s="26"/>
      <c r="IP200" s="35"/>
      <c r="IQ200" s="25"/>
      <c r="IR200" s="26"/>
      <c r="IS200" s="26"/>
      <c r="IT200" s="35"/>
      <c r="IU200" s="25"/>
      <c r="IV200" s="26"/>
    </row>
    <row r="201" spans="2:256" ht="30" customHeight="1" x14ac:dyDescent="0.25">
      <c r="B201" s="14"/>
      <c r="C201" s="102"/>
      <c r="D201" s="103"/>
      <c r="E201" s="126"/>
      <c r="F201" s="105"/>
      <c r="G201" s="126"/>
      <c r="H201" s="126"/>
      <c r="I201" s="104"/>
      <c r="J201" s="176"/>
      <c r="K201" s="107"/>
      <c r="L201" s="108"/>
      <c r="M201" s="107"/>
      <c r="N201" s="108"/>
      <c r="O201" s="109"/>
      <c r="P201" s="109"/>
      <c r="Q201" s="109"/>
      <c r="R201" s="107"/>
      <c r="S201" s="107"/>
      <c r="T201" s="107"/>
      <c r="U201" s="107"/>
      <c r="V201" s="107"/>
      <c r="W201" s="107"/>
      <c r="X201" s="110"/>
      <c r="Y201" s="107"/>
      <c r="Z201" s="107"/>
      <c r="AA201" s="110"/>
      <c r="AB201" s="110"/>
      <c r="AC201" s="110"/>
      <c r="AD201" s="110"/>
      <c r="AE201" s="159"/>
      <c r="AF201" s="110"/>
      <c r="AG201" s="26"/>
      <c r="AH201" s="26"/>
      <c r="AI201" s="35"/>
      <c r="AJ201" s="25"/>
      <c r="AK201" s="26"/>
      <c r="AL201" s="26"/>
      <c r="AM201" s="35"/>
      <c r="AN201" s="25"/>
      <c r="AO201" s="26"/>
      <c r="AP201" s="35"/>
      <c r="AQ201" s="25"/>
      <c r="AR201" s="26"/>
      <c r="AS201" s="26"/>
      <c r="AT201" s="35"/>
      <c r="AU201" s="25"/>
      <c r="AV201" s="26"/>
      <c r="AW201" s="35"/>
      <c r="AX201" s="26"/>
      <c r="AY201" s="26"/>
      <c r="AZ201" s="35"/>
      <c r="BA201" s="26"/>
      <c r="BB201" s="35"/>
      <c r="BC201" s="25"/>
      <c r="BD201" s="26"/>
      <c r="BE201" s="26"/>
      <c r="BF201" s="35"/>
      <c r="BG201" s="25"/>
      <c r="BH201" s="26"/>
      <c r="BI201" s="26"/>
      <c r="BJ201" s="35"/>
      <c r="BK201" s="25"/>
      <c r="BL201" s="26"/>
      <c r="BM201" s="26"/>
      <c r="BN201" s="35"/>
      <c r="BO201" s="25"/>
      <c r="BP201" s="26"/>
      <c r="BQ201" s="26"/>
      <c r="BR201" s="35"/>
      <c r="BS201" s="25"/>
      <c r="BT201" s="26"/>
      <c r="BU201" s="26"/>
      <c r="BV201" s="35"/>
      <c r="BW201" s="25"/>
      <c r="BX201" s="26"/>
      <c r="BY201" s="26"/>
      <c r="BZ201" s="35"/>
      <c r="CA201" s="25"/>
      <c r="CB201" s="26"/>
      <c r="CC201" s="26"/>
      <c r="CD201" s="35"/>
      <c r="CE201" s="25"/>
      <c r="CF201" s="26"/>
      <c r="CG201" s="26"/>
      <c r="CH201" s="35"/>
      <c r="CI201" s="25"/>
      <c r="CJ201" s="26"/>
      <c r="CK201" s="26"/>
      <c r="CL201" s="35"/>
      <c r="CM201" s="25"/>
      <c r="CN201" s="26"/>
      <c r="CO201" s="26"/>
      <c r="CP201" s="35"/>
      <c r="CQ201" s="25"/>
      <c r="CR201" s="26"/>
      <c r="CS201" s="26"/>
      <c r="CT201" s="35"/>
      <c r="CU201" s="25"/>
      <c r="CV201" s="26"/>
      <c r="CW201" s="26"/>
      <c r="CX201" s="35"/>
      <c r="CY201" s="25"/>
      <c r="CZ201" s="26"/>
      <c r="DA201" s="26"/>
      <c r="DB201" s="35"/>
      <c r="DC201" s="25"/>
      <c r="DD201" s="26"/>
      <c r="DE201" s="26"/>
      <c r="DF201" s="35"/>
      <c r="DG201" s="25"/>
      <c r="DH201" s="26"/>
      <c r="DI201" s="26"/>
      <c r="DJ201" s="35"/>
      <c r="DK201" s="25"/>
      <c r="DL201" s="26"/>
      <c r="DM201" s="26"/>
      <c r="DN201" s="35"/>
      <c r="DO201" s="25"/>
      <c r="DP201" s="26"/>
      <c r="DQ201" s="26"/>
      <c r="DR201" s="35"/>
      <c r="DS201" s="25"/>
      <c r="DT201" s="26"/>
      <c r="DU201" s="26"/>
      <c r="DV201" s="35"/>
      <c r="DW201" s="25"/>
      <c r="DX201" s="26"/>
      <c r="DY201" s="26"/>
      <c r="DZ201" s="35"/>
      <c r="EA201" s="25"/>
      <c r="EB201" s="26"/>
      <c r="EC201" s="26"/>
      <c r="ED201" s="35"/>
      <c r="EE201" s="25"/>
      <c r="EF201" s="26"/>
      <c r="EG201" s="26"/>
      <c r="EH201" s="35"/>
      <c r="EI201" s="25"/>
      <c r="EJ201" s="26"/>
      <c r="EK201" s="26"/>
      <c r="EL201" s="35"/>
      <c r="EM201" s="25"/>
      <c r="EN201" s="26"/>
      <c r="EO201" s="26"/>
      <c r="EP201" s="35"/>
      <c r="EQ201" s="25"/>
      <c r="ER201" s="26"/>
      <c r="ES201" s="26"/>
      <c r="ET201" s="35"/>
      <c r="EU201" s="25"/>
      <c r="EV201" s="26"/>
      <c r="EW201" s="26"/>
      <c r="EX201" s="35"/>
      <c r="EY201" s="25"/>
      <c r="EZ201" s="26"/>
      <c r="FA201" s="26"/>
      <c r="FB201" s="35"/>
      <c r="FC201" s="25"/>
      <c r="FD201" s="26"/>
      <c r="FE201" s="26"/>
      <c r="FF201" s="35"/>
      <c r="FG201" s="25"/>
      <c r="FH201" s="26"/>
      <c r="FI201" s="26"/>
      <c r="FJ201" s="35"/>
      <c r="FK201" s="25"/>
      <c r="FL201" s="26"/>
      <c r="FM201" s="26"/>
      <c r="FN201" s="35"/>
      <c r="FO201" s="25"/>
      <c r="FP201" s="26"/>
      <c r="FQ201" s="26"/>
      <c r="FR201" s="35"/>
      <c r="FS201" s="25"/>
      <c r="FT201" s="26"/>
      <c r="FU201" s="26"/>
      <c r="FV201" s="35"/>
      <c r="FW201" s="25"/>
      <c r="FX201" s="26"/>
      <c r="FY201" s="26"/>
      <c r="FZ201" s="35"/>
      <c r="GA201" s="25"/>
      <c r="GB201" s="26"/>
      <c r="GC201" s="26"/>
      <c r="GD201" s="35"/>
      <c r="GE201" s="25"/>
      <c r="GF201" s="26"/>
      <c r="GG201" s="26"/>
      <c r="GH201" s="35"/>
      <c r="GI201" s="25"/>
      <c r="GJ201" s="26"/>
      <c r="GK201" s="26"/>
      <c r="GL201" s="35"/>
      <c r="GM201" s="25"/>
      <c r="GN201" s="26"/>
      <c r="GO201" s="26"/>
      <c r="GP201" s="35"/>
      <c r="GQ201" s="25"/>
      <c r="GR201" s="26"/>
      <c r="GS201" s="26"/>
      <c r="GT201" s="35"/>
      <c r="GU201" s="25"/>
      <c r="GV201" s="26"/>
      <c r="GW201" s="26"/>
      <c r="GX201" s="35"/>
      <c r="GY201" s="25"/>
      <c r="GZ201" s="26"/>
      <c r="HA201" s="26"/>
      <c r="HB201" s="35"/>
      <c r="HC201" s="25"/>
      <c r="HD201" s="26"/>
      <c r="HE201" s="26"/>
      <c r="HF201" s="35"/>
      <c r="HG201" s="25"/>
      <c r="HH201" s="26"/>
      <c r="HI201" s="26"/>
      <c r="HJ201" s="35"/>
      <c r="HK201" s="25"/>
      <c r="HL201" s="26"/>
      <c r="HM201" s="26"/>
      <c r="HN201" s="35"/>
      <c r="HO201" s="25"/>
      <c r="HP201" s="26"/>
      <c r="HQ201" s="26"/>
      <c r="HR201" s="35"/>
      <c r="HS201" s="25"/>
      <c r="HT201" s="26"/>
      <c r="HU201" s="26"/>
      <c r="HV201" s="35"/>
      <c r="HW201" s="25"/>
      <c r="HX201" s="26"/>
      <c r="HY201" s="26"/>
      <c r="HZ201" s="35"/>
      <c r="IA201" s="25"/>
      <c r="IB201" s="26"/>
      <c r="IC201" s="26"/>
      <c r="ID201" s="35"/>
      <c r="IE201" s="25"/>
      <c r="IF201" s="26"/>
      <c r="IG201" s="26"/>
      <c r="IH201" s="35"/>
      <c r="II201" s="25"/>
      <c r="IJ201" s="26"/>
      <c r="IK201" s="26"/>
      <c r="IL201" s="35"/>
      <c r="IM201" s="25"/>
      <c r="IN201" s="26"/>
      <c r="IO201" s="26"/>
      <c r="IP201" s="35"/>
      <c r="IQ201" s="25"/>
      <c r="IR201" s="26"/>
      <c r="IS201" s="26"/>
      <c r="IT201" s="35"/>
      <c r="IU201" s="25"/>
      <c r="IV201" s="26"/>
    </row>
    <row r="202" spans="2:256" ht="30" customHeight="1" x14ac:dyDescent="0.25">
      <c r="B202" s="14"/>
      <c r="C202" s="113" t="s">
        <v>344</v>
      </c>
      <c r="D202" s="139"/>
      <c r="E202" s="115">
        <f>SUM(E189:E200)</f>
        <v>1656000</v>
      </c>
      <c r="F202" s="115">
        <f>SUM(F189:F200)</f>
        <v>0</v>
      </c>
      <c r="G202" s="115">
        <f>SUM(G189:G200)</f>
        <v>1486823</v>
      </c>
      <c r="H202" s="115">
        <f>SUM(H189:H200)</f>
        <v>1456000</v>
      </c>
      <c r="I202" s="104">
        <f t="shared" si="58"/>
        <v>1.3333333333333333</v>
      </c>
      <c r="J202" s="176"/>
      <c r="K202" s="117">
        <f t="shared" ref="K202:X202" si="72">SUM(K189:K200)</f>
        <v>1652000</v>
      </c>
      <c r="L202" s="117">
        <f t="shared" si="72"/>
        <v>1237276</v>
      </c>
      <c r="M202" s="117">
        <f t="shared" si="72"/>
        <v>1425539</v>
      </c>
      <c r="N202" s="117">
        <f t="shared" si="72"/>
        <v>0</v>
      </c>
      <c r="O202" s="118">
        <f t="shared" si="72"/>
        <v>1900718.6666666667</v>
      </c>
      <c r="P202" s="118">
        <f t="shared" si="72"/>
        <v>1130441</v>
      </c>
      <c r="Q202" s="118">
        <f t="shared" si="72"/>
        <v>1130441</v>
      </c>
      <c r="R202" s="117">
        <f>SUM(R189:R200)</f>
        <v>1919688</v>
      </c>
      <c r="S202" s="117">
        <f t="shared" si="72"/>
        <v>2271100</v>
      </c>
      <c r="T202" s="117">
        <f t="shared" si="72"/>
        <v>2260882</v>
      </c>
      <c r="U202" s="117">
        <f t="shared" si="72"/>
        <v>2711576</v>
      </c>
      <c r="V202" s="117">
        <f t="shared" si="72"/>
        <v>1283451</v>
      </c>
      <c r="W202" s="117">
        <f t="shared" si="72"/>
        <v>2601902</v>
      </c>
      <c r="X202" s="117">
        <f t="shared" si="72"/>
        <v>2601902</v>
      </c>
      <c r="Y202" s="117">
        <f>SUM(Y189:Y200)</f>
        <v>2048905</v>
      </c>
      <c r="Z202" s="117">
        <f>SUM(Z189:Z200)</f>
        <v>2458686</v>
      </c>
      <c r="AA202" s="117">
        <f t="shared" ref="AA202:AF202" si="73">SUM(AA189:AA201)</f>
        <v>3103556</v>
      </c>
      <c r="AB202" s="117">
        <f t="shared" si="73"/>
        <v>2059626</v>
      </c>
      <c r="AC202" s="117">
        <f t="shared" si="73"/>
        <v>2471200</v>
      </c>
      <c r="AD202" s="117">
        <f t="shared" si="73"/>
        <v>2471200</v>
      </c>
      <c r="AE202" s="117">
        <f t="shared" si="73"/>
        <v>3425000</v>
      </c>
      <c r="AF202" s="117">
        <f t="shared" si="73"/>
        <v>3614000</v>
      </c>
      <c r="AG202" s="26"/>
      <c r="AH202" s="26"/>
      <c r="AI202" s="35"/>
      <c r="AJ202" s="25"/>
      <c r="AK202" s="26"/>
      <c r="AL202" s="26"/>
      <c r="AM202" s="35"/>
      <c r="AN202" s="25"/>
      <c r="AO202" s="26"/>
      <c r="AP202" s="35"/>
      <c r="AQ202" s="25"/>
      <c r="AR202" s="26"/>
      <c r="AS202" s="26"/>
      <c r="AT202" s="35"/>
      <c r="AU202" s="25"/>
      <c r="AV202" s="26"/>
      <c r="AW202" s="35"/>
      <c r="AX202" s="26"/>
      <c r="AY202" s="26"/>
      <c r="AZ202" s="35"/>
      <c r="BA202" s="26"/>
      <c r="BB202" s="35"/>
      <c r="BC202" s="25"/>
      <c r="BD202" s="26"/>
      <c r="BE202" s="26"/>
      <c r="BF202" s="35"/>
      <c r="BG202" s="25"/>
      <c r="BH202" s="26"/>
      <c r="BI202" s="26"/>
      <c r="BJ202" s="35"/>
      <c r="BK202" s="25"/>
      <c r="BL202" s="26"/>
      <c r="BM202" s="26"/>
      <c r="BN202" s="35"/>
      <c r="BO202" s="25"/>
      <c r="BP202" s="26"/>
      <c r="BQ202" s="26"/>
      <c r="BR202" s="35"/>
      <c r="BS202" s="25"/>
      <c r="BT202" s="26"/>
      <c r="BU202" s="26"/>
      <c r="BV202" s="35"/>
      <c r="BW202" s="25"/>
      <c r="BX202" s="26"/>
      <c r="BY202" s="26"/>
      <c r="BZ202" s="35"/>
      <c r="CA202" s="25"/>
      <c r="CB202" s="26"/>
      <c r="CC202" s="26"/>
      <c r="CD202" s="35"/>
      <c r="CE202" s="25"/>
      <c r="CF202" s="26"/>
      <c r="CG202" s="26"/>
      <c r="CH202" s="35"/>
      <c r="CI202" s="25"/>
      <c r="CJ202" s="26"/>
      <c r="CK202" s="26"/>
      <c r="CL202" s="35"/>
      <c r="CM202" s="25"/>
      <c r="CN202" s="26"/>
      <c r="CO202" s="26"/>
      <c r="CP202" s="35"/>
      <c r="CQ202" s="25"/>
      <c r="CR202" s="26"/>
      <c r="CS202" s="26"/>
      <c r="CT202" s="35"/>
      <c r="CU202" s="25"/>
      <c r="CV202" s="26"/>
      <c r="CW202" s="26"/>
      <c r="CX202" s="35"/>
      <c r="CY202" s="25"/>
      <c r="CZ202" s="26"/>
      <c r="DA202" s="26"/>
      <c r="DB202" s="35"/>
      <c r="DC202" s="25"/>
      <c r="DD202" s="26"/>
      <c r="DE202" s="26"/>
      <c r="DF202" s="35"/>
      <c r="DG202" s="25"/>
      <c r="DH202" s="26"/>
      <c r="DI202" s="26"/>
      <c r="DJ202" s="35"/>
      <c r="DK202" s="25"/>
      <c r="DL202" s="26"/>
      <c r="DM202" s="26"/>
      <c r="DN202" s="35"/>
      <c r="DO202" s="25"/>
      <c r="DP202" s="26"/>
      <c r="DQ202" s="26"/>
      <c r="DR202" s="35"/>
      <c r="DS202" s="25"/>
      <c r="DT202" s="26"/>
      <c r="DU202" s="26"/>
      <c r="DV202" s="35"/>
      <c r="DW202" s="25"/>
      <c r="DX202" s="26"/>
      <c r="DY202" s="26"/>
      <c r="DZ202" s="35"/>
      <c r="EA202" s="25"/>
      <c r="EB202" s="26"/>
      <c r="EC202" s="26"/>
      <c r="ED202" s="35"/>
      <c r="EE202" s="25"/>
      <c r="EF202" s="26"/>
      <c r="EG202" s="26"/>
      <c r="EH202" s="35"/>
      <c r="EI202" s="25"/>
      <c r="EJ202" s="26"/>
      <c r="EK202" s="26"/>
      <c r="EL202" s="35"/>
      <c r="EM202" s="25"/>
      <c r="EN202" s="26"/>
      <c r="EO202" s="26"/>
      <c r="EP202" s="35"/>
      <c r="EQ202" s="25"/>
      <c r="ER202" s="26"/>
      <c r="ES202" s="26"/>
      <c r="ET202" s="35"/>
      <c r="EU202" s="25"/>
      <c r="EV202" s="26"/>
      <c r="EW202" s="26"/>
      <c r="EX202" s="35"/>
      <c r="EY202" s="25"/>
      <c r="EZ202" s="26"/>
      <c r="FA202" s="26"/>
      <c r="FB202" s="35"/>
      <c r="FC202" s="25"/>
      <c r="FD202" s="26"/>
      <c r="FE202" s="26"/>
      <c r="FF202" s="35"/>
      <c r="FG202" s="25"/>
      <c r="FH202" s="26"/>
      <c r="FI202" s="26"/>
      <c r="FJ202" s="35"/>
      <c r="FK202" s="25"/>
      <c r="FL202" s="26"/>
      <c r="FM202" s="26"/>
      <c r="FN202" s="35"/>
      <c r="FO202" s="25"/>
      <c r="FP202" s="26"/>
      <c r="FQ202" s="26"/>
      <c r="FR202" s="35"/>
      <c r="FS202" s="25"/>
      <c r="FT202" s="26"/>
      <c r="FU202" s="26"/>
      <c r="FV202" s="35"/>
      <c r="FW202" s="25"/>
      <c r="FX202" s="26"/>
      <c r="FY202" s="26"/>
      <c r="FZ202" s="35"/>
      <c r="GA202" s="25"/>
      <c r="GB202" s="26"/>
      <c r="GC202" s="26"/>
      <c r="GD202" s="35"/>
      <c r="GE202" s="25"/>
      <c r="GF202" s="26"/>
      <c r="GG202" s="26"/>
      <c r="GH202" s="35"/>
      <c r="GI202" s="25"/>
      <c r="GJ202" s="26"/>
      <c r="GK202" s="26"/>
      <c r="GL202" s="35"/>
      <c r="GM202" s="25"/>
      <c r="GN202" s="26"/>
      <c r="GO202" s="26"/>
      <c r="GP202" s="35"/>
      <c r="GQ202" s="25"/>
      <c r="GR202" s="26"/>
      <c r="GS202" s="26"/>
      <c r="GT202" s="35"/>
      <c r="GU202" s="25"/>
      <c r="GV202" s="26"/>
      <c r="GW202" s="26"/>
      <c r="GX202" s="35"/>
      <c r="GY202" s="25"/>
      <c r="GZ202" s="26"/>
      <c r="HA202" s="26"/>
      <c r="HB202" s="35"/>
      <c r="HC202" s="25"/>
      <c r="HD202" s="26"/>
      <c r="HE202" s="26"/>
      <c r="HF202" s="35"/>
      <c r="HG202" s="25"/>
      <c r="HH202" s="26"/>
      <c r="HI202" s="26"/>
      <c r="HJ202" s="35"/>
      <c r="HK202" s="25"/>
      <c r="HL202" s="26"/>
      <c r="HM202" s="26"/>
      <c r="HN202" s="35"/>
      <c r="HO202" s="25"/>
      <c r="HP202" s="26"/>
      <c r="HQ202" s="26"/>
      <c r="HR202" s="35"/>
      <c r="HS202" s="25"/>
      <c r="HT202" s="26"/>
      <c r="HU202" s="26"/>
      <c r="HV202" s="35"/>
      <c r="HW202" s="25"/>
      <c r="HX202" s="26"/>
      <c r="HY202" s="26"/>
      <c r="HZ202" s="35"/>
      <c r="IA202" s="25"/>
      <c r="IB202" s="26"/>
      <c r="IC202" s="26"/>
      <c r="ID202" s="35"/>
      <c r="IE202" s="25"/>
      <c r="IF202" s="26"/>
      <c r="IG202" s="26"/>
      <c r="IH202" s="35"/>
      <c r="II202" s="25"/>
      <c r="IJ202" s="26"/>
      <c r="IK202" s="26"/>
      <c r="IL202" s="35"/>
      <c r="IM202" s="25"/>
      <c r="IN202" s="26"/>
      <c r="IO202" s="26"/>
      <c r="IP202" s="35"/>
      <c r="IQ202" s="25"/>
      <c r="IR202" s="26"/>
      <c r="IS202" s="26"/>
      <c r="IT202" s="35"/>
      <c r="IU202" s="25"/>
      <c r="IV202" s="26"/>
    </row>
    <row r="203" spans="2:256" ht="30" customHeight="1" x14ac:dyDescent="0.25">
      <c r="B203" s="14"/>
      <c r="C203" s="129"/>
      <c r="D203" s="130"/>
      <c r="E203" s="104"/>
      <c r="F203" s="105"/>
      <c r="G203" s="126"/>
      <c r="H203" s="104"/>
      <c r="I203" s="104">
        <f t="shared" si="58"/>
        <v>1.3333333333333333</v>
      </c>
      <c r="J203" s="176"/>
      <c r="K203" s="159"/>
      <c r="L203" s="110"/>
      <c r="M203" s="107"/>
      <c r="N203" s="108"/>
      <c r="O203" s="109"/>
      <c r="P203" s="109"/>
      <c r="Q203" s="109"/>
      <c r="R203" s="108"/>
      <c r="S203" s="159"/>
      <c r="T203" s="159"/>
      <c r="U203" s="107"/>
      <c r="V203" s="107"/>
      <c r="W203" s="107"/>
      <c r="X203" s="110"/>
      <c r="Y203" s="107"/>
      <c r="Z203" s="107">
        <f>Y203*12/10</f>
        <v>0</v>
      </c>
      <c r="AA203" s="110"/>
      <c r="AB203" s="110"/>
      <c r="AC203" s="110"/>
      <c r="AD203" s="110"/>
      <c r="AE203" s="110"/>
      <c r="AF203" s="110"/>
      <c r="AG203" s="26"/>
      <c r="AH203" s="26"/>
      <c r="AI203" s="35"/>
      <c r="AJ203" s="25"/>
      <c r="AK203" s="26"/>
      <c r="AL203" s="26"/>
      <c r="AM203" s="35"/>
      <c r="AN203" s="25"/>
      <c r="AO203" s="26"/>
      <c r="AP203" s="35"/>
      <c r="AQ203" s="25"/>
      <c r="AR203" s="26"/>
      <c r="AS203" s="26"/>
      <c r="AT203" s="35"/>
      <c r="AU203" s="25"/>
      <c r="AV203" s="26"/>
      <c r="AW203" s="35"/>
      <c r="AX203" s="26"/>
      <c r="AY203" s="26"/>
      <c r="AZ203" s="35"/>
      <c r="BA203" s="26"/>
      <c r="BB203" s="35"/>
      <c r="BC203" s="25"/>
      <c r="BD203" s="26"/>
      <c r="BE203" s="26"/>
      <c r="BF203" s="35"/>
      <c r="BG203" s="25"/>
      <c r="BH203" s="26"/>
      <c r="BI203" s="26"/>
      <c r="BJ203" s="35"/>
      <c r="BK203" s="25"/>
      <c r="BL203" s="26"/>
      <c r="BM203" s="26"/>
      <c r="BN203" s="35"/>
      <c r="BO203" s="25"/>
      <c r="BP203" s="26"/>
      <c r="BQ203" s="26"/>
      <c r="BR203" s="35"/>
      <c r="BS203" s="25"/>
      <c r="BT203" s="26"/>
      <c r="BU203" s="26"/>
      <c r="BV203" s="35"/>
      <c r="BW203" s="25"/>
      <c r="BX203" s="26"/>
      <c r="BY203" s="26"/>
      <c r="BZ203" s="35"/>
      <c r="CA203" s="25"/>
      <c r="CB203" s="26"/>
      <c r="CC203" s="26"/>
      <c r="CD203" s="35"/>
      <c r="CE203" s="25"/>
      <c r="CF203" s="26"/>
      <c r="CG203" s="26"/>
      <c r="CH203" s="35"/>
      <c r="CI203" s="25"/>
      <c r="CJ203" s="26"/>
      <c r="CK203" s="26"/>
      <c r="CL203" s="35"/>
      <c r="CM203" s="25"/>
      <c r="CN203" s="26"/>
      <c r="CO203" s="26"/>
      <c r="CP203" s="35"/>
      <c r="CQ203" s="25"/>
      <c r="CR203" s="26"/>
      <c r="CS203" s="26"/>
      <c r="CT203" s="35"/>
      <c r="CU203" s="25"/>
      <c r="CV203" s="26"/>
      <c r="CW203" s="26"/>
      <c r="CX203" s="35"/>
      <c r="CY203" s="25"/>
      <c r="CZ203" s="26"/>
      <c r="DA203" s="26"/>
      <c r="DB203" s="35"/>
      <c r="DC203" s="25"/>
      <c r="DD203" s="26"/>
      <c r="DE203" s="26"/>
      <c r="DF203" s="35"/>
      <c r="DG203" s="25"/>
      <c r="DH203" s="26"/>
      <c r="DI203" s="26"/>
      <c r="DJ203" s="35"/>
      <c r="DK203" s="25"/>
      <c r="DL203" s="26"/>
      <c r="DM203" s="26"/>
      <c r="DN203" s="35"/>
      <c r="DO203" s="25"/>
      <c r="DP203" s="26"/>
      <c r="DQ203" s="26"/>
      <c r="DR203" s="35"/>
      <c r="DS203" s="25"/>
      <c r="DT203" s="26"/>
      <c r="DU203" s="26"/>
      <c r="DV203" s="35"/>
      <c r="DW203" s="25"/>
      <c r="DX203" s="26"/>
      <c r="DY203" s="26"/>
      <c r="DZ203" s="35"/>
      <c r="EA203" s="25"/>
      <c r="EB203" s="26"/>
      <c r="EC203" s="26"/>
      <c r="ED203" s="35"/>
      <c r="EE203" s="25"/>
      <c r="EF203" s="26"/>
      <c r="EG203" s="26"/>
      <c r="EH203" s="35"/>
      <c r="EI203" s="25"/>
      <c r="EJ203" s="26"/>
      <c r="EK203" s="26"/>
      <c r="EL203" s="35"/>
      <c r="EM203" s="25"/>
      <c r="EN203" s="26"/>
      <c r="EO203" s="26"/>
      <c r="EP203" s="35"/>
      <c r="EQ203" s="25"/>
      <c r="ER203" s="26"/>
      <c r="ES203" s="26"/>
      <c r="ET203" s="35"/>
      <c r="EU203" s="25"/>
      <c r="EV203" s="26"/>
      <c r="EW203" s="26"/>
      <c r="EX203" s="35"/>
      <c r="EY203" s="25"/>
      <c r="EZ203" s="26"/>
      <c r="FA203" s="26"/>
      <c r="FB203" s="35"/>
      <c r="FC203" s="25"/>
      <c r="FD203" s="26"/>
      <c r="FE203" s="26"/>
      <c r="FF203" s="35"/>
      <c r="FG203" s="25"/>
      <c r="FH203" s="26"/>
      <c r="FI203" s="26"/>
      <c r="FJ203" s="35"/>
      <c r="FK203" s="25"/>
      <c r="FL203" s="26"/>
      <c r="FM203" s="26"/>
      <c r="FN203" s="35"/>
      <c r="FO203" s="25"/>
      <c r="FP203" s="26"/>
      <c r="FQ203" s="26"/>
      <c r="FR203" s="35"/>
      <c r="FS203" s="25"/>
      <c r="FT203" s="26"/>
      <c r="FU203" s="26"/>
      <c r="FV203" s="35"/>
      <c r="FW203" s="25"/>
      <c r="FX203" s="26"/>
      <c r="FY203" s="26"/>
      <c r="FZ203" s="35"/>
      <c r="GA203" s="25"/>
      <c r="GB203" s="26"/>
      <c r="GC203" s="26"/>
      <c r="GD203" s="35"/>
      <c r="GE203" s="25"/>
      <c r="GF203" s="26"/>
      <c r="GG203" s="26"/>
      <c r="GH203" s="35"/>
      <c r="GI203" s="25"/>
      <c r="GJ203" s="26"/>
      <c r="GK203" s="26"/>
      <c r="GL203" s="35"/>
      <c r="GM203" s="25"/>
      <c r="GN203" s="26"/>
      <c r="GO203" s="26"/>
      <c r="GP203" s="35"/>
      <c r="GQ203" s="25"/>
      <c r="GR203" s="26"/>
      <c r="GS203" s="26"/>
      <c r="GT203" s="35"/>
      <c r="GU203" s="25"/>
      <c r="GV203" s="26"/>
      <c r="GW203" s="26"/>
      <c r="GX203" s="35"/>
      <c r="GY203" s="25"/>
      <c r="GZ203" s="26"/>
      <c r="HA203" s="26"/>
      <c r="HB203" s="35"/>
      <c r="HC203" s="25"/>
      <c r="HD203" s="26"/>
      <c r="HE203" s="26"/>
      <c r="HF203" s="35"/>
      <c r="HG203" s="25"/>
      <c r="HH203" s="26"/>
      <c r="HI203" s="26"/>
      <c r="HJ203" s="35"/>
      <c r="HK203" s="25"/>
      <c r="HL203" s="26"/>
      <c r="HM203" s="26"/>
      <c r="HN203" s="35"/>
      <c r="HO203" s="25"/>
      <c r="HP203" s="26"/>
      <c r="HQ203" s="26"/>
      <c r="HR203" s="35"/>
      <c r="HS203" s="25"/>
      <c r="HT203" s="26"/>
      <c r="HU203" s="26"/>
      <c r="HV203" s="35"/>
      <c r="HW203" s="25"/>
      <c r="HX203" s="26"/>
      <c r="HY203" s="26"/>
      <c r="HZ203" s="35"/>
      <c r="IA203" s="25"/>
      <c r="IB203" s="26"/>
      <c r="IC203" s="26"/>
      <c r="ID203" s="35"/>
      <c r="IE203" s="25"/>
      <c r="IF203" s="26"/>
      <c r="IG203" s="26"/>
      <c r="IH203" s="35"/>
      <c r="II203" s="25"/>
      <c r="IJ203" s="26"/>
      <c r="IK203" s="26"/>
      <c r="IL203" s="35"/>
      <c r="IM203" s="25"/>
      <c r="IN203" s="26"/>
      <c r="IO203" s="26"/>
      <c r="IP203" s="35"/>
      <c r="IQ203" s="25"/>
      <c r="IR203" s="26"/>
      <c r="IS203" s="26"/>
      <c r="IT203" s="35"/>
      <c r="IU203" s="25"/>
      <c r="IV203" s="26"/>
    </row>
    <row r="204" spans="2:256" ht="30" customHeight="1" x14ac:dyDescent="0.25">
      <c r="B204" s="14"/>
      <c r="C204" s="113" t="s">
        <v>287</v>
      </c>
      <c r="D204" s="139"/>
      <c r="E204" s="115">
        <f>E202+E187+E175+E166+E179</f>
        <v>9757000</v>
      </c>
      <c r="F204" s="115">
        <f>F202+F187+F175+F166+F179</f>
        <v>0</v>
      </c>
      <c r="G204" s="115">
        <f>G202+G187+G175+G166+G179</f>
        <v>10093651</v>
      </c>
      <c r="H204" s="115">
        <f>H202+H187+H175+H166+H179</f>
        <v>11044080</v>
      </c>
      <c r="I204" s="104">
        <f t="shared" si="58"/>
        <v>1.3333333333333333</v>
      </c>
      <c r="J204" s="176"/>
      <c r="K204" s="117">
        <f t="shared" ref="K204:AF204" si="74">K202+K187+K175+K166+K179</f>
        <v>12196000</v>
      </c>
      <c r="L204" s="117">
        <f t="shared" si="74"/>
        <v>8302404</v>
      </c>
      <c r="M204" s="117">
        <f t="shared" si="74"/>
        <v>9063640</v>
      </c>
      <c r="N204" s="117">
        <f t="shared" si="74"/>
        <v>0</v>
      </c>
      <c r="O204" s="118">
        <f t="shared" si="74"/>
        <v>12086653.333333334</v>
      </c>
      <c r="P204" s="118">
        <f t="shared" si="74"/>
        <v>7130901</v>
      </c>
      <c r="Q204" s="118">
        <f t="shared" si="74"/>
        <v>8892229.5714285709</v>
      </c>
      <c r="R204" s="117">
        <f t="shared" si="74"/>
        <v>13033180</v>
      </c>
      <c r="S204" s="117">
        <f t="shared" si="74"/>
        <v>15418600</v>
      </c>
      <c r="T204" s="117">
        <f t="shared" si="74"/>
        <v>16023130.571428571</v>
      </c>
      <c r="U204" s="117">
        <f t="shared" si="74"/>
        <v>16324964</v>
      </c>
      <c r="V204" s="117">
        <f t="shared" si="74"/>
        <v>8031471</v>
      </c>
      <c r="W204" s="117">
        <f t="shared" si="74"/>
        <v>17839420</v>
      </c>
      <c r="X204" s="117">
        <f t="shared" si="74"/>
        <v>17839420</v>
      </c>
      <c r="Y204" s="117">
        <f t="shared" si="74"/>
        <v>13265656</v>
      </c>
      <c r="Z204" s="117">
        <f t="shared" si="74"/>
        <v>15918787.199999999</v>
      </c>
      <c r="AA204" s="117">
        <f t="shared" si="74"/>
        <v>16299496</v>
      </c>
      <c r="AB204" s="117">
        <f t="shared" si="74"/>
        <v>13382001</v>
      </c>
      <c r="AC204" s="117">
        <f t="shared" si="74"/>
        <v>16056600</v>
      </c>
      <c r="AD204" s="117">
        <f t="shared" si="74"/>
        <v>17556600</v>
      </c>
      <c r="AE204" s="117">
        <f t="shared" si="74"/>
        <v>17534500</v>
      </c>
      <c r="AF204" s="117">
        <f t="shared" si="74"/>
        <v>18248500</v>
      </c>
      <c r="AG204" s="26"/>
      <c r="AH204" s="26"/>
      <c r="AI204" s="35"/>
      <c r="AJ204" s="25"/>
      <c r="AK204" s="26"/>
      <c r="AL204" s="26"/>
      <c r="AM204" s="35"/>
      <c r="AN204" s="25"/>
      <c r="AO204" s="26"/>
      <c r="AP204" s="35"/>
      <c r="AQ204" s="25"/>
      <c r="AR204" s="26"/>
      <c r="AS204" s="26"/>
      <c r="AT204" s="35"/>
      <c r="AU204" s="25"/>
      <c r="AV204" s="26"/>
      <c r="AW204" s="35"/>
      <c r="AX204" s="26"/>
      <c r="AY204" s="26"/>
      <c r="AZ204" s="35"/>
      <c r="BA204" s="26"/>
      <c r="BB204" s="35"/>
      <c r="BC204" s="25"/>
      <c r="BD204" s="26"/>
      <c r="BE204" s="26"/>
      <c r="BF204" s="35"/>
      <c r="BG204" s="25"/>
      <c r="BH204" s="26"/>
      <c r="BI204" s="26"/>
      <c r="BJ204" s="35"/>
      <c r="BK204" s="25"/>
      <c r="BL204" s="26"/>
      <c r="BM204" s="26"/>
      <c r="BN204" s="35"/>
      <c r="BO204" s="25"/>
      <c r="BP204" s="26"/>
      <c r="BQ204" s="26"/>
      <c r="BR204" s="35"/>
      <c r="BS204" s="25"/>
      <c r="BT204" s="26"/>
      <c r="BU204" s="26"/>
      <c r="BV204" s="35"/>
      <c r="BW204" s="25"/>
      <c r="BX204" s="26"/>
      <c r="BY204" s="26"/>
      <c r="BZ204" s="35"/>
      <c r="CA204" s="25"/>
      <c r="CB204" s="26"/>
      <c r="CC204" s="26"/>
      <c r="CD204" s="35"/>
      <c r="CE204" s="25"/>
      <c r="CF204" s="26"/>
      <c r="CG204" s="26"/>
      <c r="CH204" s="35"/>
      <c r="CI204" s="25"/>
      <c r="CJ204" s="26"/>
      <c r="CK204" s="26"/>
      <c r="CL204" s="35"/>
      <c r="CM204" s="25"/>
      <c r="CN204" s="26"/>
      <c r="CO204" s="26"/>
      <c r="CP204" s="35"/>
      <c r="CQ204" s="25"/>
      <c r="CR204" s="26"/>
      <c r="CS204" s="26"/>
      <c r="CT204" s="35"/>
      <c r="CU204" s="25"/>
      <c r="CV204" s="26"/>
      <c r="CW204" s="26"/>
      <c r="CX204" s="35"/>
      <c r="CY204" s="25"/>
      <c r="CZ204" s="26"/>
      <c r="DA204" s="26"/>
      <c r="DB204" s="35"/>
      <c r="DC204" s="25"/>
      <c r="DD204" s="26"/>
      <c r="DE204" s="26"/>
      <c r="DF204" s="35"/>
      <c r="DG204" s="25"/>
      <c r="DH204" s="26"/>
      <c r="DI204" s="26"/>
      <c r="DJ204" s="35"/>
      <c r="DK204" s="25"/>
      <c r="DL204" s="26"/>
      <c r="DM204" s="26"/>
      <c r="DN204" s="35"/>
      <c r="DO204" s="25"/>
      <c r="DP204" s="26"/>
      <c r="DQ204" s="26"/>
      <c r="DR204" s="35"/>
      <c r="DS204" s="25"/>
      <c r="DT204" s="26"/>
      <c r="DU204" s="26"/>
      <c r="DV204" s="35"/>
      <c r="DW204" s="25"/>
      <c r="DX204" s="26"/>
      <c r="DY204" s="26"/>
      <c r="DZ204" s="35"/>
      <c r="EA204" s="25"/>
      <c r="EB204" s="26"/>
      <c r="EC204" s="26"/>
      <c r="ED204" s="35"/>
      <c r="EE204" s="25"/>
      <c r="EF204" s="26"/>
      <c r="EG204" s="26"/>
      <c r="EH204" s="35"/>
      <c r="EI204" s="25"/>
      <c r="EJ204" s="26"/>
      <c r="EK204" s="26"/>
      <c r="EL204" s="35"/>
      <c r="EM204" s="25"/>
      <c r="EN204" s="26"/>
      <c r="EO204" s="26"/>
      <c r="EP204" s="35"/>
      <c r="EQ204" s="25"/>
      <c r="ER204" s="26"/>
      <c r="ES204" s="26"/>
      <c r="ET204" s="35"/>
      <c r="EU204" s="25"/>
      <c r="EV204" s="26"/>
      <c r="EW204" s="26"/>
      <c r="EX204" s="35"/>
      <c r="EY204" s="25"/>
      <c r="EZ204" s="26"/>
      <c r="FA204" s="26"/>
      <c r="FB204" s="35"/>
      <c r="FC204" s="25"/>
      <c r="FD204" s="26"/>
      <c r="FE204" s="26"/>
      <c r="FF204" s="35"/>
      <c r="FG204" s="25"/>
      <c r="FH204" s="26"/>
      <c r="FI204" s="26"/>
      <c r="FJ204" s="35"/>
      <c r="FK204" s="25"/>
      <c r="FL204" s="26"/>
      <c r="FM204" s="26"/>
      <c r="FN204" s="35"/>
      <c r="FO204" s="25"/>
      <c r="FP204" s="26"/>
      <c r="FQ204" s="26"/>
      <c r="FR204" s="35"/>
      <c r="FS204" s="25"/>
      <c r="FT204" s="26"/>
      <c r="FU204" s="26"/>
      <c r="FV204" s="35"/>
      <c r="FW204" s="25"/>
      <c r="FX204" s="26"/>
      <c r="FY204" s="26"/>
      <c r="FZ204" s="35"/>
      <c r="GA204" s="25"/>
      <c r="GB204" s="26"/>
      <c r="GC204" s="26"/>
      <c r="GD204" s="35"/>
      <c r="GE204" s="25"/>
      <c r="GF204" s="26"/>
      <c r="GG204" s="26"/>
      <c r="GH204" s="35"/>
      <c r="GI204" s="25"/>
      <c r="GJ204" s="26"/>
      <c r="GK204" s="26"/>
      <c r="GL204" s="35"/>
      <c r="GM204" s="25"/>
      <c r="GN204" s="26"/>
      <c r="GO204" s="26"/>
      <c r="GP204" s="35"/>
      <c r="GQ204" s="25"/>
      <c r="GR204" s="26"/>
      <c r="GS204" s="26"/>
      <c r="GT204" s="35"/>
      <c r="GU204" s="25"/>
      <c r="GV204" s="26"/>
      <c r="GW204" s="26"/>
      <c r="GX204" s="35"/>
      <c r="GY204" s="25"/>
      <c r="GZ204" s="26"/>
      <c r="HA204" s="26"/>
      <c r="HB204" s="35"/>
      <c r="HC204" s="25"/>
      <c r="HD204" s="26"/>
      <c r="HE204" s="26"/>
      <c r="HF204" s="35"/>
      <c r="HG204" s="25"/>
      <c r="HH204" s="26"/>
      <c r="HI204" s="26"/>
      <c r="HJ204" s="35"/>
      <c r="HK204" s="25"/>
      <c r="HL204" s="26"/>
      <c r="HM204" s="26"/>
      <c r="HN204" s="35"/>
      <c r="HO204" s="25"/>
      <c r="HP204" s="26"/>
      <c r="HQ204" s="26"/>
      <c r="HR204" s="35"/>
      <c r="HS204" s="25"/>
      <c r="HT204" s="26"/>
      <c r="HU204" s="26"/>
      <c r="HV204" s="35"/>
      <c r="HW204" s="25"/>
      <c r="HX204" s="26"/>
      <c r="HY204" s="26"/>
      <c r="HZ204" s="35"/>
      <c r="IA204" s="25"/>
      <c r="IB204" s="26"/>
      <c r="IC204" s="26"/>
      <c r="ID204" s="35"/>
      <c r="IE204" s="25"/>
      <c r="IF204" s="26"/>
      <c r="IG204" s="26"/>
      <c r="IH204" s="35"/>
      <c r="II204" s="25"/>
      <c r="IJ204" s="26"/>
      <c r="IK204" s="26"/>
      <c r="IL204" s="35"/>
      <c r="IM204" s="25"/>
      <c r="IN204" s="26"/>
      <c r="IO204" s="26"/>
      <c r="IP204" s="35"/>
      <c r="IQ204" s="25"/>
      <c r="IR204" s="26"/>
      <c r="IS204" s="26"/>
      <c r="IT204" s="35"/>
      <c r="IU204" s="25"/>
      <c r="IV204" s="26"/>
    </row>
    <row r="205" spans="2:256" ht="30" customHeight="1" x14ac:dyDescent="0.25">
      <c r="B205" s="14"/>
      <c r="C205" s="129"/>
      <c r="D205" s="130"/>
      <c r="E205" s="104"/>
      <c r="F205" s="105"/>
      <c r="G205" s="126"/>
      <c r="H205" s="104"/>
      <c r="I205" s="104">
        <f t="shared" si="58"/>
        <v>1.3333333333333333</v>
      </c>
      <c r="J205" s="176"/>
      <c r="K205" s="159"/>
      <c r="L205" s="108"/>
      <c r="M205" s="107"/>
      <c r="N205" s="108"/>
      <c r="O205" s="109"/>
      <c r="P205" s="109"/>
      <c r="Q205" s="109"/>
      <c r="R205" s="159"/>
      <c r="S205" s="159"/>
      <c r="T205" s="159"/>
      <c r="U205" s="107"/>
      <c r="V205" s="107"/>
      <c r="W205" s="107"/>
      <c r="X205" s="110"/>
      <c r="Y205" s="107"/>
      <c r="Z205" s="107">
        <f>Y205*12/10</f>
        <v>0</v>
      </c>
      <c r="AA205" s="110"/>
      <c r="AB205" s="110"/>
      <c r="AC205" s="110"/>
      <c r="AD205" s="110"/>
      <c r="AE205" s="159"/>
      <c r="AF205" s="110"/>
      <c r="AG205" s="26"/>
      <c r="AH205" s="26"/>
      <c r="AI205" s="35"/>
      <c r="AJ205" s="25"/>
      <c r="AK205" s="26"/>
      <c r="AL205" s="26"/>
      <c r="AM205" s="35"/>
      <c r="AN205" s="25"/>
      <c r="AO205" s="26"/>
      <c r="AP205" s="35"/>
      <c r="AQ205" s="25"/>
      <c r="AR205" s="26"/>
      <c r="AS205" s="26"/>
      <c r="AT205" s="35"/>
      <c r="AU205" s="25"/>
      <c r="AV205" s="26"/>
      <c r="AW205" s="35"/>
      <c r="AX205" s="26"/>
      <c r="AY205" s="26"/>
      <c r="AZ205" s="35"/>
      <c r="BA205" s="26"/>
      <c r="BB205" s="35"/>
      <c r="BC205" s="25"/>
      <c r="BD205" s="26"/>
      <c r="BE205" s="26"/>
      <c r="BF205" s="35"/>
      <c r="BG205" s="25"/>
      <c r="BH205" s="26"/>
      <c r="BI205" s="26"/>
      <c r="BJ205" s="35"/>
      <c r="BK205" s="25"/>
      <c r="BL205" s="26"/>
      <c r="BM205" s="26"/>
      <c r="BN205" s="35"/>
      <c r="BO205" s="25"/>
      <c r="BP205" s="26"/>
      <c r="BQ205" s="26"/>
      <c r="BR205" s="35"/>
      <c r="BS205" s="25"/>
      <c r="BT205" s="26"/>
      <c r="BU205" s="26"/>
      <c r="BV205" s="35"/>
      <c r="BW205" s="25"/>
      <c r="BX205" s="26"/>
      <c r="BY205" s="26"/>
      <c r="BZ205" s="35"/>
      <c r="CA205" s="25"/>
      <c r="CB205" s="26"/>
      <c r="CC205" s="26"/>
      <c r="CD205" s="35"/>
      <c r="CE205" s="25"/>
      <c r="CF205" s="26"/>
      <c r="CG205" s="26"/>
      <c r="CH205" s="35"/>
      <c r="CI205" s="25"/>
      <c r="CJ205" s="26"/>
      <c r="CK205" s="26"/>
      <c r="CL205" s="35"/>
      <c r="CM205" s="25"/>
      <c r="CN205" s="26"/>
      <c r="CO205" s="26"/>
      <c r="CP205" s="35"/>
      <c r="CQ205" s="25"/>
      <c r="CR205" s="26"/>
      <c r="CS205" s="26"/>
      <c r="CT205" s="35"/>
      <c r="CU205" s="25"/>
      <c r="CV205" s="26"/>
      <c r="CW205" s="26"/>
      <c r="CX205" s="35"/>
      <c r="CY205" s="25"/>
      <c r="CZ205" s="26"/>
      <c r="DA205" s="26"/>
      <c r="DB205" s="35"/>
      <c r="DC205" s="25"/>
      <c r="DD205" s="26"/>
      <c r="DE205" s="26"/>
      <c r="DF205" s="35"/>
      <c r="DG205" s="25"/>
      <c r="DH205" s="26"/>
      <c r="DI205" s="26"/>
      <c r="DJ205" s="35"/>
      <c r="DK205" s="25"/>
      <c r="DL205" s="26"/>
      <c r="DM205" s="26"/>
      <c r="DN205" s="35"/>
      <c r="DO205" s="25"/>
      <c r="DP205" s="26"/>
      <c r="DQ205" s="26"/>
      <c r="DR205" s="35"/>
      <c r="DS205" s="25"/>
      <c r="DT205" s="26"/>
      <c r="DU205" s="26"/>
      <c r="DV205" s="35"/>
      <c r="DW205" s="25"/>
      <c r="DX205" s="26"/>
      <c r="DY205" s="26"/>
      <c r="DZ205" s="35"/>
      <c r="EA205" s="25"/>
      <c r="EB205" s="26"/>
      <c r="EC205" s="26"/>
      <c r="ED205" s="35"/>
      <c r="EE205" s="25"/>
      <c r="EF205" s="26"/>
      <c r="EG205" s="26"/>
      <c r="EH205" s="35"/>
      <c r="EI205" s="25"/>
      <c r="EJ205" s="26"/>
      <c r="EK205" s="26"/>
      <c r="EL205" s="35"/>
      <c r="EM205" s="25"/>
      <c r="EN205" s="26"/>
      <c r="EO205" s="26"/>
      <c r="EP205" s="35"/>
      <c r="EQ205" s="25"/>
      <c r="ER205" s="26"/>
      <c r="ES205" s="26"/>
      <c r="ET205" s="35"/>
      <c r="EU205" s="25"/>
      <c r="EV205" s="26"/>
      <c r="EW205" s="26"/>
      <c r="EX205" s="35"/>
      <c r="EY205" s="25"/>
      <c r="EZ205" s="26"/>
      <c r="FA205" s="26"/>
      <c r="FB205" s="35"/>
      <c r="FC205" s="25"/>
      <c r="FD205" s="26"/>
      <c r="FE205" s="26"/>
      <c r="FF205" s="35"/>
      <c r="FG205" s="25"/>
      <c r="FH205" s="26"/>
      <c r="FI205" s="26"/>
      <c r="FJ205" s="35"/>
      <c r="FK205" s="25"/>
      <c r="FL205" s="26"/>
      <c r="FM205" s="26"/>
      <c r="FN205" s="35"/>
      <c r="FO205" s="25"/>
      <c r="FP205" s="26"/>
      <c r="FQ205" s="26"/>
      <c r="FR205" s="35"/>
      <c r="FS205" s="25"/>
      <c r="FT205" s="26"/>
      <c r="FU205" s="26"/>
      <c r="FV205" s="35"/>
      <c r="FW205" s="25"/>
      <c r="FX205" s="26"/>
      <c r="FY205" s="26"/>
      <c r="FZ205" s="35"/>
      <c r="GA205" s="25"/>
      <c r="GB205" s="26"/>
      <c r="GC205" s="26"/>
      <c r="GD205" s="35"/>
      <c r="GE205" s="25"/>
      <c r="GF205" s="26"/>
      <c r="GG205" s="26"/>
      <c r="GH205" s="35"/>
      <c r="GI205" s="25"/>
      <c r="GJ205" s="26"/>
      <c r="GK205" s="26"/>
      <c r="GL205" s="35"/>
      <c r="GM205" s="25"/>
      <c r="GN205" s="26"/>
      <c r="GO205" s="26"/>
      <c r="GP205" s="35"/>
      <c r="GQ205" s="25"/>
      <c r="GR205" s="26"/>
      <c r="GS205" s="26"/>
      <c r="GT205" s="35"/>
      <c r="GU205" s="25"/>
      <c r="GV205" s="26"/>
      <c r="GW205" s="26"/>
      <c r="GX205" s="35"/>
      <c r="GY205" s="25"/>
      <c r="GZ205" s="26"/>
      <c r="HA205" s="26"/>
      <c r="HB205" s="35"/>
      <c r="HC205" s="25"/>
      <c r="HD205" s="26"/>
      <c r="HE205" s="26"/>
      <c r="HF205" s="35"/>
      <c r="HG205" s="25"/>
      <c r="HH205" s="26"/>
      <c r="HI205" s="26"/>
      <c r="HJ205" s="35"/>
      <c r="HK205" s="25"/>
      <c r="HL205" s="26"/>
      <c r="HM205" s="26"/>
      <c r="HN205" s="35"/>
      <c r="HO205" s="25"/>
      <c r="HP205" s="26"/>
      <c r="HQ205" s="26"/>
      <c r="HR205" s="35"/>
      <c r="HS205" s="25"/>
      <c r="HT205" s="26"/>
      <c r="HU205" s="26"/>
      <c r="HV205" s="35"/>
      <c r="HW205" s="25"/>
      <c r="HX205" s="26"/>
      <c r="HY205" s="26"/>
      <c r="HZ205" s="35"/>
      <c r="IA205" s="25"/>
      <c r="IB205" s="26"/>
      <c r="IC205" s="26"/>
      <c r="ID205" s="35"/>
      <c r="IE205" s="25"/>
      <c r="IF205" s="26"/>
      <c r="IG205" s="26"/>
      <c r="IH205" s="35"/>
      <c r="II205" s="25"/>
      <c r="IJ205" s="26"/>
      <c r="IK205" s="26"/>
      <c r="IL205" s="35"/>
      <c r="IM205" s="25"/>
      <c r="IN205" s="26"/>
      <c r="IO205" s="26"/>
      <c r="IP205" s="35"/>
      <c r="IQ205" s="25"/>
      <c r="IR205" s="26"/>
      <c r="IS205" s="26"/>
      <c r="IT205" s="35"/>
      <c r="IU205" s="25"/>
      <c r="IV205" s="26"/>
    </row>
    <row r="206" spans="2:256" ht="30" customHeight="1" x14ac:dyDescent="0.25">
      <c r="B206" s="14">
        <v>117373</v>
      </c>
      <c r="C206" s="102">
        <v>371000.99</v>
      </c>
      <c r="D206" s="103" t="s">
        <v>679</v>
      </c>
      <c r="E206" s="104">
        <v>350000</v>
      </c>
      <c r="F206" s="105"/>
      <c r="G206" s="126">
        <v>336562</v>
      </c>
      <c r="H206" s="104">
        <v>400000</v>
      </c>
      <c r="I206" s="104">
        <f t="shared" ref="I206:I231" si="75">4/3</f>
        <v>1.3333333333333333</v>
      </c>
      <c r="J206" s="176"/>
      <c r="K206" s="107">
        <v>250000</v>
      </c>
      <c r="L206" s="108">
        <v>107925</v>
      </c>
      <c r="M206" s="107">
        <v>186801</v>
      </c>
      <c r="N206" s="108"/>
      <c r="O206" s="109">
        <f>M206*4/3</f>
        <v>249068</v>
      </c>
      <c r="P206" s="109">
        <v>217400</v>
      </c>
      <c r="Q206" s="109">
        <v>50000</v>
      </c>
      <c r="R206" s="107">
        <v>250000</v>
      </c>
      <c r="S206" s="107">
        <v>347400</v>
      </c>
      <c r="T206" s="107">
        <f>Q206+P206</f>
        <v>267400</v>
      </c>
      <c r="U206" s="107">
        <f>S206</f>
        <v>347400</v>
      </c>
      <c r="V206" s="107">
        <v>111830.91</v>
      </c>
      <c r="W206" s="107">
        <f>V206*2</f>
        <v>223661.82</v>
      </c>
      <c r="X206" s="110">
        <f>U206</f>
        <v>347400</v>
      </c>
      <c r="Y206" s="107">
        <v>362094</v>
      </c>
      <c r="Z206" s="107">
        <f>Y206*12/10</f>
        <v>434512.8</v>
      </c>
      <c r="AA206" s="110">
        <v>407400</v>
      </c>
      <c r="AB206" s="110">
        <v>165838</v>
      </c>
      <c r="AC206" s="110">
        <v>200000</v>
      </c>
      <c r="AD206" s="108">
        <f>AC206</f>
        <v>200000</v>
      </c>
      <c r="AE206" s="107">
        <v>200000</v>
      </c>
      <c r="AF206" s="107">
        <v>200000</v>
      </c>
      <c r="AG206" s="26"/>
      <c r="AH206" s="26"/>
      <c r="AI206" s="35"/>
      <c r="AJ206" s="25"/>
      <c r="AK206" s="26"/>
      <c r="AL206" s="26"/>
      <c r="AM206" s="35"/>
      <c r="AN206" s="25"/>
      <c r="AO206" s="26"/>
      <c r="AP206" s="35"/>
      <c r="AQ206" s="25"/>
      <c r="AR206" s="26"/>
      <c r="AS206" s="26"/>
      <c r="AT206" s="35"/>
      <c r="AU206" s="25"/>
      <c r="AV206" s="26"/>
      <c r="AW206" s="35"/>
      <c r="AX206" s="26"/>
      <c r="AY206" s="26"/>
      <c r="AZ206" s="35"/>
      <c r="BA206" s="26"/>
      <c r="BB206" s="35"/>
      <c r="BC206" s="25"/>
      <c r="BD206" s="26"/>
      <c r="BE206" s="26"/>
      <c r="BF206" s="35"/>
      <c r="BG206" s="25"/>
      <c r="BH206" s="26"/>
      <c r="BI206" s="26"/>
      <c r="BJ206" s="35"/>
      <c r="BK206" s="25"/>
      <c r="BL206" s="26"/>
      <c r="BM206" s="26"/>
      <c r="BN206" s="35"/>
      <c r="BO206" s="25"/>
      <c r="BP206" s="26"/>
      <c r="BQ206" s="26"/>
      <c r="BR206" s="35"/>
      <c r="BS206" s="25"/>
      <c r="BT206" s="26"/>
      <c r="BU206" s="26"/>
      <c r="BV206" s="35"/>
      <c r="BW206" s="25"/>
      <c r="BX206" s="26"/>
      <c r="BY206" s="26"/>
      <c r="BZ206" s="35"/>
      <c r="CA206" s="25"/>
      <c r="CB206" s="26"/>
      <c r="CC206" s="26"/>
      <c r="CD206" s="35"/>
      <c r="CE206" s="25"/>
      <c r="CF206" s="26"/>
      <c r="CG206" s="26"/>
      <c r="CH206" s="35"/>
      <c r="CI206" s="25"/>
      <c r="CJ206" s="26"/>
      <c r="CK206" s="26"/>
      <c r="CL206" s="35"/>
      <c r="CM206" s="25"/>
      <c r="CN206" s="26"/>
      <c r="CO206" s="26"/>
      <c r="CP206" s="35"/>
      <c r="CQ206" s="25"/>
      <c r="CR206" s="26"/>
      <c r="CS206" s="26"/>
      <c r="CT206" s="35"/>
      <c r="CU206" s="25"/>
      <c r="CV206" s="26"/>
      <c r="CW206" s="26"/>
      <c r="CX206" s="35"/>
      <c r="CY206" s="25"/>
      <c r="CZ206" s="26"/>
      <c r="DA206" s="26"/>
      <c r="DB206" s="35"/>
      <c r="DC206" s="25"/>
      <c r="DD206" s="26"/>
      <c r="DE206" s="26"/>
      <c r="DF206" s="35"/>
      <c r="DG206" s="25"/>
      <c r="DH206" s="26"/>
      <c r="DI206" s="26"/>
      <c r="DJ206" s="35"/>
      <c r="DK206" s="25"/>
      <c r="DL206" s="26"/>
      <c r="DM206" s="26"/>
      <c r="DN206" s="35"/>
      <c r="DO206" s="25"/>
      <c r="DP206" s="26"/>
      <c r="DQ206" s="26"/>
      <c r="DR206" s="35"/>
      <c r="DS206" s="25"/>
      <c r="DT206" s="26"/>
      <c r="DU206" s="26"/>
      <c r="DV206" s="35"/>
      <c r="DW206" s="25"/>
      <c r="DX206" s="26"/>
      <c r="DY206" s="26"/>
      <c r="DZ206" s="35"/>
      <c r="EA206" s="25"/>
      <c r="EB206" s="26"/>
      <c r="EC206" s="26"/>
      <c r="ED206" s="35"/>
      <c r="EE206" s="25"/>
      <c r="EF206" s="26"/>
      <c r="EG206" s="26"/>
      <c r="EH206" s="35"/>
      <c r="EI206" s="25"/>
      <c r="EJ206" s="26"/>
      <c r="EK206" s="26"/>
      <c r="EL206" s="35"/>
      <c r="EM206" s="25"/>
      <c r="EN206" s="26"/>
      <c r="EO206" s="26"/>
      <c r="EP206" s="35"/>
      <c r="EQ206" s="25"/>
      <c r="ER206" s="26"/>
      <c r="ES206" s="26"/>
      <c r="ET206" s="35"/>
      <c r="EU206" s="25"/>
      <c r="EV206" s="26"/>
      <c r="EW206" s="26"/>
      <c r="EX206" s="35"/>
      <c r="EY206" s="25"/>
      <c r="EZ206" s="26"/>
      <c r="FA206" s="26"/>
      <c r="FB206" s="35"/>
      <c r="FC206" s="25"/>
      <c r="FD206" s="26"/>
      <c r="FE206" s="26"/>
      <c r="FF206" s="35"/>
      <c r="FG206" s="25"/>
      <c r="FH206" s="26"/>
      <c r="FI206" s="26"/>
      <c r="FJ206" s="35"/>
      <c r="FK206" s="25"/>
      <c r="FL206" s="26"/>
      <c r="FM206" s="26"/>
      <c r="FN206" s="35"/>
      <c r="FO206" s="25"/>
      <c r="FP206" s="26"/>
      <c r="FQ206" s="26"/>
      <c r="FR206" s="35"/>
      <c r="FS206" s="25"/>
      <c r="FT206" s="26"/>
      <c r="FU206" s="26"/>
      <c r="FV206" s="35"/>
      <c r="FW206" s="25"/>
      <c r="FX206" s="26"/>
      <c r="FY206" s="26"/>
      <c r="FZ206" s="35"/>
      <c r="GA206" s="25"/>
      <c r="GB206" s="26"/>
      <c r="GC206" s="26"/>
      <c r="GD206" s="35"/>
      <c r="GE206" s="25"/>
      <c r="GF206" s="26"/>
      <c r="GG206" s="26"/>
      <c r="GH206" s="35"/>
      <c r="GI206" s="25"/>
      <c r="GJ206" s="26"/>
      <c r="GK206" s="26"/>
      <c r="GL206" s="35"/>
      <c r="GM206" s="25"/>
      <c r="GN206" s="26"/>
      <c r="GO206" s="26"/>
      <c r="GP206" s="35"/>
      <c r="GQ206" s="25"/>
      <c r="GR206" s="26"/>
      <c r="GS206" s="26"/>
      <c r="GT206" s="35"/>
      <c r="GU206" s="25"/>
      <c r="GV206" s="26"/>
      <c r="GW206" s="26"/>
      <c r="GX206" s="35"/>
      <c r="GY206" s="25"/>
      <c r="GZ206" s="26"/>
      <c r="HA206" s="26"/>
      <c r="HB206" s="35"/>
      <c r="HC206" s="25"/>
      <c r="HD206" s="26"/>
      <c r="HE206" s="26"/>
      <c r="HF206" s="35"/>
      <c r="HG206" s="25"/>
      <c r="HH206" s="26"/>
      <c r="HI206" s="26"/>
      <c r="HJ206" s="35"/>
      <c r="HK206" s="25"/>
      <c r="HL206" s="26"/>
      <c r="HM206" s="26"/>
      <c r="HN206" s="35"/>
      <c r="HO206" s="25"/>
      <c r="HP206" s="26"/>
      <c r="HQ206" s="26"/>
      <c r="HR206" s="35"/>
      <c r="HS206" s="25"/>
      <c r="HT206" s="26"/>
      <c r="HU206" s="26"/>
      <c r="HV206" s="35"/>
      <c r="HW206" s="25"/>
      <c r="HX206" s="26"/>
      <c r="HY206" s="26"/>
      <c r="HZ206" s="35"/>
      <c r="IA206" s="25"/>
      <c r="IB206" s="26"/>
      <c r="IC206" s="26"/>
      <c r="ID206" s="35"/>
      <c r="IE206" s="25"/>
      <c r="IF206" s="26"/>
      <c r="IG206" s="26"/>
      <c r="IH206" s="35"/>
      <c r="II206" s="25"/>
      <c r="IJ206" s="26"/>
      <c r="IK206" s="26"/>
      <c r="IL206" s="35"/>
      <c r="IM206" s="25"/>
      <c r="IN206" s="26"/>
      <c r="IO206" s="26"/>
      <c r="IP206" s="35"/>
      <c r="IQ206" s="25"/>
      <c r="IR206" s="26"/>
      <c r="IS206" s="26"/>
      <c r="IT206" s="35"/>
      <c r="IU206" s="25"/>
      <c r="IV206" s="26"/>
    </row>
    <row r="207" spans="2:256" ht="30" customHeight="1" x14ac:dyDescent="0.25">
      <c r="B207" s="14">
        <v>186000</v>
      </c>
      <c r="C207" s="102">
        <v>379000.22</v>
      </c>
      <c r="D207" s="103" t="s">
        <v>327</v>
      </c>
      <c r="E207" s="104">
        <v>210000</v>
      </c>
      <c r="F207" s="105"/>
      <c r="G207" s="126">
        <v>215410</v>
      </c>
      <c r="H207" s="104">
        <v>210000</v>
      </c>
      <c r="I207" s="104">
        <f t="shared" si="75"/>
        <v>1.3333333333333333</v>
      </c>
      <c r="J207" s="176"/>
      <c r="K207" s="107">
        <v>150000</v>
      </c>
      <c r="L207" s="108">
        <v>145000</v>
      </c>
      <c r="M207" s="107">
        <v>124000</v>
      </c>
      <c r="N207" s="108"/>
      <c r="O207" s="109">
        <f>M207*4/3</f>
        <v>165333.33333333334</v>
      </c>
      <c r="P207" s="109">
        <v>194500</v>
      </c>
      <c r="Q207" s="109">
        <v>100000</v>
      </c>
      <c r="R207" s="107">
        <v>165000</v>
      </c>
      <c r="S207" s="107">
        <v>165000</v>
      </c>
      <c r="T207" s="107">
        <f>Q207+P207</f>
        <v>294500</v>
      </c>
      <c r="U207" s="107">
        <f>S207</f>
        <v>165000</v>
      </c>
      <c r="V207" s="107">
        <v>114350</v>
      </c>
      <c r="W207" s="107">
        <f>V207*2</f>
        <v>228700</v>
      </c>
      <c r="X207" s="110">
        <f>U207</f>
        <v>165000</v>
      </c>
      <c r="Y207" s="107">
        <v>220883</v>
      </c>
      <c r="Z207" s="107">
        <f>Y207*12/10</f>
        <v>265059.59999999998</v>
      </c>
      <c r="AA207" s="110">
        <v>254000</v>
      </c>
      <c r="AB207" s="110">
        <v>253663</v>
      </c>
      <c r="AC207" s="110">
        <v>300000</v>
      </c>
      <c r="AD207" s="108">
        <f>AC207</f>
        <v>300000</v>
      </c>
      <c r="AE207" s="107">
        <v>300000</v>
      </c>
      <c r="AF207" s="107">
        <v>300000</v>
      </c>
      <c r="AG207" s="26"/>
      <c r="AH207" s="26"/>
      <c r="AI207" s="35"/>
      <c r="AJ207" s="25"/>
      <c r="AK207" s="26"/>
      <c r="AL207" s="26"/>
      <c r="AM207" s="35"/>
      <c r="AN207" s="25"/>
      <c r="AO207" s="26"/>
      <c r="AP207" s="35"/>
      <c r="AQ207" s="25"/>
      <c r="AR207" s="26"/>
      <c r="AS207" s="26"/>
      <c r="AT207" s="35"/>
      <c r="AU207" s="25"/>
      <c r="AV207" s="26"/>
      <c r="AW207" s="35"/>
      <c r="AX207" s="26"/>
      <c r="AY207" s="26"/>
      <c r="AZ207" s="35"/>
      <c r="BA207" s="26"/>
      <c r="BB207" s="35"/>
      <c r="BC207" s="25"/>
      <c r="BD207" s="26"/>
      <c r="BE207" s="26"/>
      <c r="BF207" s="35"/>
      <c r="BG207" s="25"/>
      <c r="BH207" s="26"/>
      <c r="BI207" s="26"/>
      <c r="BJ207" s="35"/>
      <c r="BK207" s="25"/>
      <c r="BL207" s="26"/>
      <c r="BM207" s="26"/>
      <c r="BN207" s="35"/>
      <c r="BO207" s="25"/>
      <c r="BP207" s="26"/>
      <c r="BQ207" s="26"/>
      <c r="BR207" s="35"/>
      <c r="BS207" s="25"/>
      <c r="BT207" s="26"/>
      <c r="BU207" s="26"/>
      <c r="BV207" s="35"/>
      <c r="BW207" s="25"/>
      <c r="BX207" s="26"/>
      <c r="BY207" s="26"/>
      <c r="BZ207" s="35"/>
      <c r="CA207" s="25"/>
      <c r="CB207" s="26"/>
      <c r="CC207" s="26"/>
      <c r="CD207" s="35"/>
      <c r="CE207" s="25"/>
      <c r="CF207" s="26"/>
      <c r="CG207" s="26"/>
      <c r="CH207" s="35"/>
      <c r="CI207" s="25"/>
      <c r="CJ207" s="26"/>
      <c r="CK207" s="26"/>
      <c r="CL207" s="35"/>
      <c r="CM207" s="25"/>
      <c r="CN207" s="26"/>
      <c r="CO207" s="26"/>
      <c r="CP207" s="35"/>
      <c r="CQ207" s="25"/>
      <c r="CR207" s="26"/>
      <c r="CS207" s="26"/>
      <c r="CT207" s="35"/>
      <c r="CU207" s="25"/>
      <c r="CV207" s="26"/>
      <c r="CW207" s="26"/>
      <c r="CX207" s="35"/>
      <c r="CY207" s="25"/>
      <c r="CZ207" s="26"/>
      <c r="DA207" s="26"/>
      <c r="DB207" s="35"/>
      <c r="DC207" s="25"/>
      <c r="DD207" s="26"/>
      <c r="DE207" s="26"/>
      <c r="DF207" s="35"/>
      <c r="DG207" s="25"/>
      <c r="DH207" s="26"/>
      <c r="DI207" s="26"/>
      <c r="DJ207" s="35"/>
      <c r="DK207" s="25"/>
      <c r="DL207" s="26"/>
      <c r="DM207" s="26"/>
      <c r="DN207" s="35"/>
      <c r="DO207" s="25"/>
      <c r="DP207" s="26"/>
      <c r="DQ207" s="26"/>
      <c r="DR207" s="35"/>
      <c r="DS207" s="25"/>
      <c r="DT207" s="26"/>
      <c r="DU207" s="26"/>
      <c r="DV207" s="35"/>
      <c r="DW207" s="25"/>
      <c r="DX207" s="26"/>
      <c r="DY207" s="26"/>
      <c r="DZ207" s="35"/>
      <c r="EA207" s="25"/>
      <c r="EB207" s="26"/>
      <c r="EC207" s="26"/>
      <c r="ED207" s="35"/>
      <c r="EE207" s="25"/>
      <c r="EF207" s="26"/>
      <c r="EG207" s="26"/>
      <c r="EH207" s="35"/>
      <c r="EI207" s="25"/>
      <c r="EJ207" s="26"/>
      <c r="EK207" s="26"/>
      <c r="EL207" s="35"/>
      <c r="EM207" s="25"/>
      <c r="EN207" s="26"/>
      <c r="EO207" s="26"/>
      <c r="EP207" s="35"/>
      <c r="EQ207" s="25"/>
      <c r="ER207" s="26"/>
      <c r="ES207" s="26"/>
      <c r="ET207" s="35"/>
      <c r="EU207" s="25"/>
      <c r="EV207" s="26"/>
      <c r="EW207" s="26"/>
      <c r="EX207" s="35"/>
      <c r="EY207" s="25"/>
      <c r="EZ207" s="26"/>
      <c r="FA207" s="26"/>
      <c r="FB207" s="35"/>
      <c r="FC207" s="25"/>
      <c r="FD207" s="26"/>
      <c r="FE207" s="26"/>
      <c r="FF207" s="35"/>
      <c r="FG207" s="25"/>
      <c r="FH207" s="26"/>
      <c r="FI207" s="26"/>
      <c r="FJ207" s="35"/>
      <c r="FK207" s="25"/>
      <c r="FL207" s="26"/>
      <c r="FM207" s="26"/>
      <c r="FN207" s="35"/>
      <c r="FO207" s="25"/>
      <c r="FP207" s="26"/>
      <c r="FQ207" s="26"/>
      <c r="FR207" s="35"/>
      <c r="FS207" s="25"/>
      <c r="FT207" s="26"/>
      <c r="FU207" s="26"/>
      <c r="FV207" s="35"/>
      <c r="FW207" s="25"/>
      <c r="FX207" s="26"/>
      <c r="FY207" s="26"/>
      <c r="FZ207" s="35"/>
      <c r="GA207" s="25"/>
      <c r="GB207" s="26"/>
      <c r="GC207" s="26"/>
      <c r="GD207" s="35"/>
      <c r="GE207" s="25"/>
      <c r="GF207" s="26"/>
      <c r="GG207" s="26"/>
      <c r="GH207" s="35"/>
      <c r="GI207" s="25"/>
      <c r="GJ207" s="26"/>
      <c r="GK207" s="26"/>
      <c r="GL207" s="35"/>
      <c r="GM207" s="25"/>
      <c r="GN207" s="26"/>
      <c r="GO207" s="26"/>
      <c r="GP207" s="35"/>
      <c r="GQ207" s="25"/>
      <c r="GR207" s="26"/>
      <c r="GS207" s="26"/>
      <c r="GT207" s="35"/>
      <c r="GU207" s="25"/>
      <c r="GV207" s="26"/>
      <c r="GW207" s="26"/>
      <c r="GX207" s="35"/>
      <c r="GY207" s="25"/>
      <c r="GZ207" s="26"/>
      <c r="HA207" s="26"/>
      <c r="HB207" s="35"/>
      <c r="HC207" s="25"/>
      <c r="HD207" s="26"/>
      <c r="HE207" s="26"/>
      <c r="HF207" s="35"/>
      <c r="HG207" s="25"/>
      <c r="HH207" s="26"/>
      <c r="HI207" s="26"/>
      <c r="HJ207" s="35"/>
      <c r="HK207" s="25"/>
      <c r="HL207" s="26"/>
      <c r="HM207" s="26"/>
      <c r="HN207" s="35"/>
      <c r="HO207" s="25"/>
      <c r="HP207" s="26"/>
      <c r="HQ207" s="26"/>
      <c r="HR207" s="35"/>
      <c r="HS207" s="25"/>
      <c r="HT207" s="26"/>
      <c r="HU207" s="26"/>
      <c r="HV207" s="35"/>
      <c r="HW207" s="25"/>
      <c r="HX207" s="26"/>
      <c r="HY207" s="26"/>
      <c r="HZ207" s="35"/>
      <c r="IA207" s="25"/>
      <c r="IB207" s="26"/>
      <c r="IC207" s="26"/>
      <c r="ID207" s="35"/>
      <c r="IE207" s="25"/>
      <c r="IF207" s="26"/>
      <c r="IG207" s="26"/>
      <c r="IH207" s="35"/>
      <c r="II207" s="25"/>
      <c r="IJ207" s="26"/>
      <c r="IK207" s="26"/>
      <c r="IL207" s="35"/>
      <c r="IM207" s="25"/>
      <c r="IN207" s="26"/>
      <c r="IO207" s="26"/>
      <c r="IP207" s="35"/>
      <c r="IQ207" s="25"/>
      <c r="IR207" s="26"/>
      <c r="IS207" s="26"/>
      <c r="IT207" s="35"/>
      <c r="IU207" s="25"/>
      <c r="IV207" s="26"/>
    </row>
    <row r="208" spans="2:256" ht="30" customHeight="1" x14ac:dyDescent="0.25">
      <c r="B208" s="14"/>
      <c r="C208" s="102">
        <v>379000.41</v>
      </c>
      <c r="D208" s="103" t="s">
        <v>440</v>
      </c>
      <c r="E208" s="104"/>
      <c r="F208" s="105"/>
      <c r="G208" s="126"/>
      <c r="H208" s="104"/>
      <c r="I208" s="104"/>
      <c r="J208" s="176"/>
      <c r="K208" s="107">
        <v>300000</v>
      </c>
      <c r="L208" s="108">
        <v>0</v>
      </c>
      <c r="M208" s="107">
        <v>0</v>
      </c>
      <c r="N208" s="108"/>
      <c r="O208" s="109">
        <f>M208*4/3</f>
        <v>0</v>
      </c>
      <c r="P208" s="109">
        <v>0</v>
      </c>
      <c r="Q208" s="109">
        <v>0</v>
      </c>
      <c r="R208" s="107">
        <v>300000</v>
      </c>
      <c r="S208" s="107">
        <v>300000</v>
      </c>
      <c r="T208" s="107">
        <f>Q208+P208</f>
        <v>0</v>
      </c>
      <c r="U208" s="107">
        <f>S208</f>
        <v>300000</v>
      </c>
      <c r="V208" s="107">
        <v>0</v>
      </c>
      <c r="W208" s="107">
        <v>300000</v>
      </c>
      <c r="X208" s="110">
        <f>U208</f>
        <v>300000</v>
      </c>
      <c r="Y208" s="107"/>
      <c r="Z208" s="107">
        <f>Y208*12/10</f>
        <v>0</v>
      </c>
      <c r="AA208" s="110">
        <v>300000</v>
      </c>
      <c r="AB208" s="110"/>
      <c r="AC208" s="110">
        <f>AB208*12/10</f>
        <v>0</v>
      </c>
      <c r="AD208" s="108">
        <f>AC208</f>
        <v>0</v>
      </c>
      <c r="AE208" s="107">
        <v>232000</v>
      </c>
      <c r="AF208" s="108">
        <v>300000</v>
      </c>
      <c r="AG208" s="26"/>
      <c r="AH208" s="26"/>
      <c r="AI208" s="35"/>
      <c r="AJ208" s="25"/>
      <c r="AK208" s="26"/>
      <c r="AL208" s="26"/>
      <c r="AM208" s="35"/>
      <c r="AN208" s="25"/>
      <c r="AO208" s="26"/>
      <c r="AP208" s="35"/>
      <c r="AQ208" s="25"/>
      <c r="AR208" s="26"/>
      <c r="AS208" s="26"/>
      <c r="AT208" s="35"/>
      <c r="AU208" s="25"/>
      <c r="AV208" s="26"/>
      <c r="AW208" s="35"/>
      <c r="AX208" s="26"/>
      <c r="AY208" s="26"/>
      <c r="AZ208" s="35"/>
      <c r="BA208" s="26"/>
      <c r="BB208" s="35"/>
      <c r="BC208" s="25"/>
      <c r="BD208" s="26"/>
      <c r="BE208" s="26"/>
      <c r="BF208" s="35"/>
      <c r="BG208" s="25"/>
      <c r="BH208" s="26"/>
      <c r="BI208" s="26"/>
      <c r="BJ208" s="35"/>
      <c r="BK208" s="25"/>
      <c r="BL208" s="26"/>
      <c r="BM208" s="26"/>
      <c r="BN208" s="35"/>
      <c r="BO208" s="25"/>
      <c r="BP208" s="26"/>
      <c r="BQ208" s="26"/>
      <c r="BR208" s="35"/>
      <c r="BS208" s="25"/>
      <c r="BT208" s="26"/>
      <c r="BU208" s="26"/>
      <c r="BV208" s="35"/>
      <c r="BW208" s="25"/>
      <c r="BX208" s="26"/>
      <c r="BY208" s="26"/>
      <c r="BZ208" s="35"/>
      <c r="CA208" s="25"/>
      <c r="CB208" s="26"/>
      <c r="CC208" s="26"/>
      <c r="CD208" s="35"/>
      <c r="CE208" s="25"/>
      <c r="CF208" s="26"/>
      <c r="CG208" s="26"/>
      <c r="CH208" s="35"/>
      <c r="CI208" s="25"/>
      <c r="CJ208" s="26"/>
      <c r="CK208" s="26"/>
      <c r="CL208" s="35"/>
      <c r="CM208" s="25"/>
      <c r="CN208" s="26"/>
      <c r="CO208" s="26"/>
      <c r="CP208" s="35"/>
      <c r="CQ208" s="25"/>
      <c r="CR208" s="26"/>
      <c r="CS208" s="26"/>
      <c r="CT208" s="35"/>
      <c r="CU208" s="25"/>
      <c r="CV208" s="26"/>
      <c r="CW208" s="26"/>
      <c r="CX208" s="35"/>
      <c r="CY208" s="25"/>
      <c r="CZ208" s="26"/>
      <c r="DA208" s="26"/>
      <c r="DB208" s="35"/>
      <c r="DC208" s="25"/>
      <c r="DD208" s="26"/>
      <c r="DE208" s="26"/>
      <c r="DF208" s="35"/>
      <c r="DG208" s="25"/>
      <c r="DH208" s="26"/>
      <c r="DI208" s="26"/>
      <c r="DJ208" s="35"/>
      <c r="DK208" s="25"/>
      <c r="DL208" s="26"/>
      <c r="DM208" s="26"/>
      <c r="DN208" s="35"/>
      <c r="DO208" s="25"/>
      <c r="DP208" s="26"/>
      <c r="DQ208" s="26"/>
      <c r="DR208" s="35"/>
      <c r="DS208" s="25"/>
      <c r="DT208" s="26"/>
      <c r="DU208" s="26"/>
      <c r="DV208" s="35"/>
      <c r="DW208" s="25"/>
      <c r="DX208" s="26"/>
      <c r="DY208" s="26"/>
      <c r="DZ208" s="35"/>
      <c r="EA208" s="25"/>
      <c r="EB208" s="26"/>
      <c r="EC208" s="26"/>
      <c r="ED208" s="35"/>
      <c r="EE208" s="25"/>
      <c r="EF208" s="26"/>
      <c r="EG208" s="26"/>
      <c r="EH208" s="35"/>
      <c r="EI208" s="25"/>
      <c r="EJ208" s="26"/>
      <c r="EK208" s="26"/>
      <c r="EL208" s="35"/>
      <c r="EM208" s="25"/>
      <c r="EN208" s="26"/>
      <c r="EO208" s="26"/>
      <c r="EP208" s="35"/>
      <c r="EQ208" s="25"/>
      <c r="ER208" s="26"/>
      <c r="ES208" s="26"/>
      <c r="ET208" s="35"/>
      <c r="EU208" s="25"/>
      <c r="EV208" s="26"/>
      <c r="EW208" s="26"/>
      <c r="EX208" s="35"/>
      <c r="EY208" s="25"/>
      <c r="EZ208" s="26"/>
      <c r="FA208" s="26"/>
      <c r="FB208" s="35"/>
      <c r="FC208" s="25"/>
      <c r="FD208" s="26"/>
      <c r="FE208" s="26"/>
      <c r="FF208" s="35"/>
      <c r="FG208" s="25"/>
      <c r="FH208" s="26"/>
      <c r="FI208" s="26"/>
      <c r="FJ208" s="35"/>
      <c r="FK208" s="25"/>
      <c r="FL208" s="26"/>
      <c r="FM208" s="26"/>
      <c r="FN208" s="35"/>
      <c r="FO208" s="25"/>
      <c r="FP208" s="26"/>
      <c r="FQ208" s="26"/>
      <c r="FR208" s="35"/>
      <c r="FS208" s="25"/>
      <c r="FT208" s="26"/>
      <c r="FU208" s="26"/>
      <c r="FV208" s="35"/>
      <c r="FW208" s="25"/>
      <c r="FX208" s="26"/>
      <c r="FY208" s="26"/>
      <c r="FZ208" s="35"/>
      <c r="GA208" s="25"/>
      <c r="GB208" s="26"/>
      <c r="GC208" s="26"/>
      <c r="GD208" s="35"/>
      <c r="GE208" s="25"/>
      <c r="GF208" s="26"/>
      <c r="GG208" s="26"/>
      <c r="GH208" s="35"/>
      <c r="GI208" s="25"/>
      <c r="GJ208" s="26"/>
      <c r="GK208" s="26"/>
      <c r="GL208" s="35"/>
      <c r="GM208" s="25"/>
      <c r="GN208" s="26"/>
      <c r="GO208" s="26"/>
      <c r="GP208" s="35"/>
      <c r="GQ208" s="25"/>
      <c r="GR208" s="26"/>
      <c r="GS208" s="26"/>
      <c r="GT208" s="35"/>
      <c r="GU208" s="25"/>
      <c r="GV208" s="26"/>
      <c r="GW208" s="26"/>
      <c r="GX208" s="35"/>
      <c r="GY208" s="25"/>
      <c r="GZ208" s="26"/>
      <c r="HA208" s="26"/>
      <c r="HB208" s="35"/>
      <c r="HC208" s="25"/>
      <c r="HD208" s="26"/>
      <c r="HE208" s="26"/>
      <c r="HF208" s="35"/>
      <c r="HG208" s="25"/>
      <c r="HH208" s="26"/>
      <c r="HI208" s="26"/>
      <c r="HJ208" s="35"/>
      <c r="HK208" s="25"/>
      <c r="HL208" s="26"/>
      <c r="HM208" s="26"/>
      <c r="HN208" s="35"/>
      <c r="HO208" s="25"/>
      <c r="HP208" s="26"/>
      <c r="HQ208" s="26"/>
      <c r="HR208" s="35"/>
      <c r="HS208" s="25"/>
      <c r="HT208" s="26"/>
      <c r="HU208" s="26"/>
      <c r="HV208" s="35"/>
      <c r="HW208" s="25"/>
      <c r="HX208" s="26"/>
      <c r="HY208" s="26"/>
      <c r="HZ208" s="35"/>
      <c r="IA208" s="25"/>
      <c r="IB208" s="26"/>
      <c r="IC208" s="26"/>
      <c r="ID208" s="35"/>
      <c r="IE208" s="25"/>
      <c r="IF208" s="26"/>
      <c r="IG208" s="26"/>
      <c r="IH208" s="35"/>
      <c r="II208" s="25"/>
      <c r="IJ208" s="26"/>
      <c r="IK208" s="26"/>
      <c r="IL208" s="35"/>
      <c r="IM208" s="25"/>
      <c r="IN208" s="26"/>
      <c r="IO208" s="26"/>
      <c r="IP208" s="35"/>
      <c r="IQ208" s="25"/>
      <c r="IR208" s="26"/>
      <c r="IS208" s="26"/>
      <c r="IT208" s="35"/>
      <c r="IU208" s="25"/>
      <c r="IV208" s="26"/>
    </row>
    <row r="209" spans="2:256" ht="30" customHeight="1" x14ac:dyDescent="0.25">
      <c r="B209" s="14"/>
      <c r="C209" s="113" t="s">
        <v>328</v>
      </c>
      <c r="D209" s="139"/>
      <c r="E209" s="115">
        <f>SUM(E206:E207)</f>
        <v>560000</v>
      </c>
      <c r="F209" s="115">
        <f>SUM(F206:F207)</f>
        <v>0</v>
      </c>
      <c r="G209" s="115">
        <f>SUM(G206:G207)</f>
        <v>551972</v>
      </c>
      <c r="H209" s="115">
        <f>SUM(H206:H207)</f>
        <v>610000</v>
      </c>
      <c r="I209" s="104">
        <f t="shared" si="75"/>
        <v>1.3333333333333333</v>
      </c>
      <c r="J209" s="176"/>
      <c r="K209" s="115">
        <f t="shared" ref="K209:X209" si="76">SUM(K206:K208)</f>
        <v>700000</v>
      </c>
      <c r="L209" s="115">
        <f t="shared" si="76"/>
        <v>252925</v>
      </c>
      <c r="M209" s="115">
        <f t="shared" si="76"/>
        <v>310801</v>
      </c>
      <c r="N209" s="115">
        <f t="shared" si="76"/>
        <v>0</v>
      </c>
      <c r="O209" s="142">
        <f t="shared" si="76"/>
        <v>414401.33333333337</v>
      </c>
      <c r="P209" s="142">
        <f t="shared" si="76"/>
        <v>411900</v>
      </c>
      <c r="Q209" s="142">
        <f t="shared" si="76"/>
        <v>150000</v>
      </c>
      <c r="R209" s="115">
        <f t="shared" si="76"/>
        <v>715000</v>
      </c>
      <c r="S209" s="115">
        <f t="shared" si="76"/>
        <v>812400</v>
      </c>
      <c r="T209" s="115">
        <f t="shared" si="76"/>
        <v>561900</v>
      </c>
      <c r="U209" s="117">
        <f t="shared" si="76"/>
        <v>812400</v>
      </c>
      <c r="V209" s="117">
        <f t="shared" si="76"/>
        <v>226180.91</v>
      </c>
      <c r="W209" s="117">
        <f t="shared" si="76"/>
        <v>752361.82000000007</v>
      </c>
      <c r="X209" s="117">
        <f t="shared" si="76"/>
        <v>812400</v>
      </c>
      <c r="Y209" s="117">
        <f t="shared" ref="Y209:AF209" si="77">SUM(Y206:Y208)</f>
        <v>582977</v>
      </c>
      <c r="Z209" s="117">
        <f t="shared" si="77"/>
        <v>699572.39999999991</v>
      </c>
      <c r="AA209" s="117">
        <f t="shared" si="77"/>
        <v>961400</v>
      </c>
      <c r="AB209" s="117">
        <f t="shared" si="77"/>
        <v>419501</v>
      </c>
      <c r="AC209" s="117">
        <f t="shared" si="77"/>
        <v>500000</v>
      </c>
      <c r="AD209" s="117">
        <f t="shared" si="77"/>
        <v>500000</v>
      </c>
      <c r="AE209" s="117">
        <f t="shared" si="77"/>
        <v>732000</v>
      </c>
      <c r="AF209" s="117">
        <f t="shared" si="77"/>
        <v>800000</v>
      </c>
      <c r="AG209" s="26"/>
      <c r="AH209" s="26"/>
      <c r="AI209" s="35"/>
      <c r="AJ209" s="25"/>
      <c r="AK209" s="26"/>
      <c r="AL209" s="26"/>
      <c r="AM209" s="35"/>
      <c r="AN209" s="25"/>
      <c r="AO209" s="26"/>
      <c r="AP209" s="35"/>
      <c r="AQ209" s="25"/>
      <c r="AR209" s="26"/>
      <c r="AS209" s="26"/>
      <c r="AT209" s="35"/>
      <c r="AU209" s="25"/>
      <c r="AV209" s="26"/>
      <c r="AW209" s="35"/>
      <c r="AX209" s="26"/>
      <c r="AY209" s="26"/>
      <c r="AZ209" s="35"/>
      <c r="BA209" s="26"/>
      <c r="BB209" s="35"/>
      <c r="BC209" s="25"/>
      <c r="BD209" s="26"/>
      <c r="BE209" s="26"/>
      <c r="BF209" s="35"/>
      <c r="BG209" s="25"/>
      <c r="BH209" s="26"/>
      <c r="BI209" s="26"/>
      <c r="BJ209" s="35"/>
      <c r="BK209" s="25"/>
      <c r="BL209" s="26"/>
      <c r="BM209" s="26"/>
      <c r="BN209" s="35"/>
      <c r="BO209" s="25"/>
      <c r="BP209" s="26"/>
      <c r="BQ209" s="26"/>
      <c r="BR209" s="35"/>
      <c r="BS209" s="25"/>
      <c r="BT209" s="26"/>
      <c r="BU209" s="26"/>
      <c r="BV209" s="35"/>
      <c r="BW209" s="25"/>
      <c r="BX209" s="26"/>
      <c r="BY209" s="26"/>
      <c r="BZ209" s="35"/>
      <c r="CA209" s="25"/>
      <c r="CB209" s="26"/>
      <c r="CC209" s="26"/>
      <c r="CD209" s="35"/>
      <c r="CE209" s="25"/>
      <c r="CF209" s="26"/>
      <c r="CG209" s="26"/>
      <c r="CH209" s="35"/>
      <c r="CI209" s="25"/>
      <c r="CJ209" s="26"/>
      <c r="CK209" s="26"/>
      <c r="CL209" s="35"/>
      <c r="CM209" s="25"/>
      <c r="CN209" s="26"/>
      <c r="CO209" s="26"/>
      <c r="CP209" s="35"/>
      <c r="CQ209" s="25"/>
      <c r="CR209" s="26"/>
      <c r="CS209" s="26"/>
      <c r="CT209" s="35"/>
      <c r="CU209" s="25"/>
      <c r="CV209" s="26"/>
      <c r="CW209" s="26"/>
      <c r="CX209" s="35"/>
      <c r="CY209" s="25"/>
      <c r="CZ209" s="26"/>
      <c r="DA209" s="26"/>
      <c r="DB209" s="35"/>
      <c r="DC209" s="25"/>
      <c r="DD209" s="26"/>
      <c r="DE209" s="26"/>
      <c r="DF209" s="35"/>
      <c r="DG209" s="25"/>
      <c r="DH209" s="26"/>
      <c r="DI209" s="26"/>
      <c r="DJ209" s="35"/>
      <c r="DK209" s="25"/>
      <c r="DL209" s="26"/>
      <c r="DM209" s="26"/>
      <c r="DN209" s="35"/>
      <c r="DO209" s="25"/>
      <c r="DP209" s="26"/>
      <c r="DQ209" s="26"/>
      <c r="DR209" s="35"/>
      <c r="DS209" s="25"/>
      <c r="DT209" s="26"/>
      <c r="DU209" s="26"/>
      <c r="DV209" s="35"/>
      <c r="DW209" s="25"/>
      <c r="DX209" s="26"/>
      <c r="DY209" s="26"/>
      <c r="DZ209" s="35"/>
      <c r="EA209" s="25"/>
      <c r="EB209" s="26"/>
      <c r="EC209" s="26"/>
      <c r="ED209" s="35"/>
      <c r="EE209" s="25"/>
      <c r="EF209" s="26"/>
      <c r="EG209" s="26"/>
      <c r="EH209" s="35"/>
      <c r="EI209" s="25"/>
      <c r="EJ209" s="26"/>
      <c r="EK209" s="26"/>
      <c r="EL209" s="35"/>
      <c r="EM209" s="25"/>
      <c r="EN209" s="26"/>
      <c r="EO209" s="26"/>
      <c r="EP209" s="35"/>
      <c r="EQ209" s="25"/>
      <c r="ER209" s="26"/>
      <c r="ES209" s="26"/>
      <c r="ET209" s="35"/>
      <c r="EU209" s="25"/>
      <c r="EV209" s="26"/>
      <c r="EW209" s="26"/>
      <c r="EX209" s="35"/>
      <c r="EY209" s="25"/>
      <c r="EZ209" s="26"/>
      <c r="FA209" s="26"/>
      <c r="FB209" s="35"/>
      <c r="FC209" s="25"/>
      <c r="FD209" s="26"/>
      <c r="FE209" s="26"/>
      <c r="FF209" s="35"/>
      <c r="FG209" s="25"/>
      <c r="FH209" s="26"/>
      <c r="FI209" s="26"/>
      <c r="FJ209" s="35"/>
      <c r="FK209" s="25"/>
      <c r="FL209" s="26"/>
      <c r="FM209" s="26"/>
      <c r="FN209" s="35"/>
      <c r="FO209" s="25"/>
      <c r="FP209" s="26"/>
      <c r="FQ209" s="26"/>
      <c r="FR209" s="35"/>
      <c r="FS209" s="25"/>
      <c r="FT209" s="26"/>
      <c r="FU209" s="26"/>
      <c r="FV209" s="35"/>
      <c r="FW209" s="25"/>
      <c r="FX209" s="26"/>
      <c r="FY209" s="26"/>
      <c r="FZ209" s="35"/>
      <c r="GA209" s="25"/>
      <c r="GB209" s="26"/>
      <c r="GC209" s="26"/>
      <c r="GD209" s="35"/>
      <c r="GE209" s="25"/>
      <c r="GF209" s="26"/>
      <c r="GG209" s="26"/>
      <c r="GH209" s="35"/>
      <c r="GI209" s="25"/>
      <c r="GJ209" s="26"/>
      <c r="GK209" s="26"/>
      <c r="GL209" s="35"/>
      <c r="GM209" s="25"/>
      <c r="GN209" s="26"/>
      <c r="GO209" s="26"/>
      <c r="GP209" s="35"/>
      <c r="GQ209" s="25"/>
      <c r="GR209" s="26"/>
      <c r="GS209" s="26"/>
      <c r="GT209" s="35"/>
      <c r="GU209" s="25"/>
      <c r="GV209" s="26"/>
      <c r="GW209" s="26"/>
      <c r="GX209" s="35"/>
      <c r="GY209" s="25"/>
      <c r="GZ209" s="26"/>
      <c r="HA209" s="26"/>
      <c r="HB209" s="35"/>
      <c r="HC209" s="25"/>
      <c r="HD209" s="26"/>
      <c r="HE209" s="26"/>
      <c r="HF209" s="35"/>
      <c r="HG209" s="25"/>
      <c r="HH209" s="26"/>
      <c r="HI209" s="26"/>
      <c r="HJ209" s="35"/>
      <c r="HK209" s="25"/>
      <c r="HL209" s="26"/>
      <c r="HM209" s="26"/>
      <c r="HN209" s="35"/>
      <c r="HO209" s="25"/>
      <c r="HP209" s="26"/>
      <c r="HQ209" s="26"/>
      <c r="HR209" s="35"/>
      <c r="HS209" s="25"/>
      <c r="HT209" s="26"/>
      <c r="HU209" s="26"/>
      <c r="HV209" s="35"/>
      <c r="HW209" s="25"/>
      <c r="HX209" s="26"/>
      <c r="HY209" s="26"/>
      <c r="HZ209" s="35"/>
      <c r="IA209" s="25"/>
      <c r="IB209" s="26"/>
      <c r="IC209" s="26"/>
      <c r="ID209" s="35"/>
      <c r="IE209" s="25"/>
      <c r="IF209" s="26"/>
      <c r="IG209" s="26"/>
      <c r="IH209" s="35"/>
      <c r="II209" s="25"/>
      <c r="IJ209" s="26"/>
      <c r="IK209" s="26"/>
      <c r="IL209" s="35"/>
      <c r="IM209" s="25"/>
      <c r="IN209" s="26"/>
      <c r="IO209" s="26"/>
      <c r="IP209" s="35"/>
      <c r="IQ209" s="25"/>
      <c r="IR209" s="26"/>
      <c r="IS209" s="26"/>
      <c r="IT209" s="35"/>
      <c r="IU209" s="25"/>
      <c r="IV209" s="26"/>
    </row>
    <row r="210" spans="2:256" ht="30" customHeight="1" x14ac:dyDescent="0.25">
      <c r="B210" s="14"/>
      <c r="C210" s="129"/>
      <c r="D210" s="130"/>
      <c r="E210" s="104"/>
      <c r="F210" s="105"/>
      <c r="G210" s="126"/>
      <c r="H210" s="104"/>
      <c r="I210" s="104">
        <f t="shared" si="75"/>
        <v>1.3333333333333333</v>
      </c>
      <c r="J210" s="176"/>
      <c r="K210" s="159"/>
      <c r="L210" s="110"/>
      <c r="M210" s="107"/>
      <c r="N210" s="108"/>
      <c r="O210" s="109"/>
      <c r="P210" s="109"/>
      <c r="Q210" s="109"/>
      <c r="R210" s="159"/>
      <c r="S210" s="159"/>
      <c r="T210" s="159"/>
      <c r="U210" s="107"/>
      <c r="V210" s="107"/>
      <c r="W210" s="107"/>
      <c r="X210" s="110"/>
      <c r="Y210" s="107"/>
      <c r="Z210" s="107">
        <f>Y210*12/10</f>
        <v>0</v>
      </c>
      <c r="AA210" s="110"/>
      <c r="AB210" s="110"/>
      <c r="AC210" s="110"/>
      <c r="AD210" s="110"/>
      <c r="AE210" s="159"/>
      <c r="AF210" s="110"/>
      <c r="AG210" s="26"/>
      <c r="AH210" s="26"/>
      <c r="AI210" s="35"/>
      <c r="AJ210" s="25"/>
      <c r="AK210" s="26"/>
      <c r="AL210" s="26"/>
      <c r="AM210" s="35"/>
      <c r="AN210" s="25"/>
      <c r="AO210" s="26"/>
      <c r="AP210" s="35"/>
      <c r="AQ210" s="25"/>
      <c r="AR210" s="26"/>
      <c r="AS210" s="26"/>
      <c r="AT210" s="35"/>
      <c r="AU210" s="25"/>
      <c r="AV210" s="26"/>
      <c r="AW210" s="35"/>
      <c r="AX210" s="26"/>
      <c r="AY210" s="26"/>
      <c r="AZ210" s="35"/>
      <c r="BA210" s="26"/>
      <c r="BB210" s="35"/>
      <c r="BC210" s="25"/>
      <c r="BD210" s="26"/>
      <c r="BE210" s="26"/>
      <c r="BF210" s="35"/>
      <c r="BG210" s="25"/>
      <c r="BH210" s="26"/>
      <c r="BI210" s="26"/>
      <c r="BJ210" s="35"/>
      <c r="BK210" s="25"/>
      <c r="BL210" s="26"/>
      <c r="BM210" s="26"/>
      <c r="BN210" s="35"/>
      <c r="BO210" s="25"/>
      <c r="BP210" s="26"/>
      <c r="BQ210" s="26"/>
      <c r="BR210" s="35"/>
      <c r="BS210" s="25"/>
      <c r="BT210" s="26"/>
      <c r="BU210" s="26"/>
      <c r="BV210" s="35"/>
      <c r="BW210" s="25"/>
      <c r="BX210" s="26"/>
      <c r="BY210" s="26"/>
      <c r="BZ210" s="35"/>
      <c r="CA210" s="25"/>
      <c r="CB210" s="26"/>
      <c r="CC210" s="26"/>
      <c r="CD210" s="35"/>
      <c r="CE210" s="25"/>
      <c r="CF210" s="26"/>
      <c r="CG210" s="26"/>
      <c r="CH210" s="35"/>
      <c r="CI210" s="25"/>
      <c r="CJ210" s="26"/>
      <c r="CK210" s="26"/>
      <c r="CL210" s="35"/>
      <c r="CM210" s="25"/>
      <c r="CN210" s="26"/>
      <c r="CO210" s="26"/>
      <c r="CP210" s="35"/>
      <c r="CQ210" s="25"/>
      <c r="CR210" s="26"/>
      <c r="CS210" s="26"/>
      <c r="CT210" s="35"/>
      <c r="CU210" s="25"/>
      <c r="CV210" s="26"/>
      <c r="CW210" s="26"/>
      <c r="CX210" s="35"/>
      <c r="CY210" s="25"/>
      <c r="CZ210" s="26"/>
      <c r="DA210" s="26"/>
      <c r="DB210" s="35"/>
      <c r="DC210" s="25"/>
      <c r="DD210" s="26"/>
      <c r="DE210" s="26"/>
      <c r="DF210" s="35"/>
      <c r="DG210" s="25"/>
      <c r="DH210" s="26"/>
      <c r="DI210" s="26"/>
      <c r="DJ210" s="35"/>
      <c r="DK210" s="25"/>
      <c r="DL210" s="26"/>
      <c r="DM210" s="26"/>
      <c r="DN210" s="35"/>
      <c r="DO210" s="25"/>
      <c r="DP210" s="26"/>
      <c r="DQ210" s="26"/>
      <c r="DR210" s="35"/>
      <c r="DS210" s="25"/>
      <c r="DT210" s="26"/>
      <c r="DU210" s="26"/>
      <c r="DV210" s="35"/>
      <c r="DW210" s="25"/>
      <c r="DX210" s="26"/>
      <c r="DY210" s="26"/>
      <c r="DZ210" s="35"/>
      <c r="EA210" s="25"/>
      <c r="EB210" s="26"/>
      <c r="EC210" s="26"/>
      <c r="ED210" s="35"/>
      <c r="EE210" s="25"/>
      <c r="EF210" s="26"/>
      <c r="EG210" s="26"/>
      <c r="EH210" s="35"/>
      <c r="EI210" s="25"/>
      <c r="EJ210" s="26"/>
      <c r="EK210" s="26"/>
      <c r="EL210" s="35"/>
      <c r="EM210" s="25"/>
      <c r="EN210" s="26"/>
      <c r="EO210" s="26"/>
      <c r="EP210" s="35"/>
      <c r="EQ210" s="25"/>
      <c r="ER210" s="26"/>
      <c r="ES210" s="26"/>
      <c r="ET210" s="35"/>
      <c r="EU210" s="25"/>
      <c r="EV210" s="26"/>
      <c r="EW210" s="26"/>
      <c r="EX210" s="35"/>
      <c r="EY210" s="25"/>
      <c r="EZ210" s="26"/>
      <c r="FA210" s="26"/>
      <c r="FB210" s="35"/>
      <c r="FC210" s="25"/>
      <c r="FD210" s="26"/>
      <c r="FE210" s="26"/>
      <c r="FF210" s="35"/>
      <c r="FG210" s="25"/>
      <c r="FH210" s="26"/>
      <c r="FI210" s="26"/>
      <c r="FJ210" s="35"/>
      <c r="FK210" s="25"/>
      <c r="FL210" s="26"/>
      <c r="FM210" s="26"/>
      <c r="FN210" s="35"/>
      <c r="FO210" s="25"/>
      <c r="FP210" s="26"/>
      <c r="FQ210" s="26"/>
      <c r="FR210" s="35"/>
      <c r="FS210" s="25"/>
      <c r="FT210" s="26"/>
      <c r="FU210" s="26"/>
      <c r="FV210" s="35"/>
      <c r="FW210" s="25"/>
      <c r="FX210" s="26"/>
      <c r="FY210" s="26"/>
      <c r="FZ210" s="35"/>
      <c r="GA210" s="25"/>
      <c r="GB210" s="26"/>
      <c r="GC210" s="26"/>
      <c r="GD210" s="35"/>
      <c r="GE210" s="25"/>
      <c r="GF210" s="26"/>
      <c r="GG210" s="26"/>
      <c r="GH210" s="35"/>
      <c r="GI210" s="25"/>
      <c r="GJ210" s="26"/>
      <c r="GK210" s="26"/>
      <c r="GL210" s="35"/>
      <c r="GM210" s="25"/>
      <c r="GN210" s="26"/>
      <c r="GO210" s="26"/>
      <c r="GP210" s="35"/>
      <c r="GQ210" s="25"/>
      <c r="GR210" s="26"/>
      <c r="GS210" s="26"/>
      <c r="GT210" s="35"/>
      <c r="GU210" s="25"/>
      <c r="GV210" s="26"/>
      <c r="GW210" s="26"/>
      <c r="GX210" s="35"/>
      <c r="GY210" s="25"/>
      <c r="GZ210" s="26"/>
      <c r="HA210" s="26"/>
      <c r="HB210" s="35"/>
      <c r="HC210" s="25"/>
      <c r="HD210" s="26"/>
      <c r="HE210" s="26"/>
      <c r="HF210" s="35"/>
      <c r="HG210" s="25"/>
      <c r="HH210" s="26"/>
      <c r="HI210" s="26"/>
      <c r="HJ210" s="35"/>
      <c r="HK210" s="25"/>
      <c r="HL210" s="26"/>
      <c r="HM210" s="26"/>
      <c r="HN210" s="35"/>
      <c r="HO210" s="25"/>
      <c r="HP210" s="26"/>
      <c r="HQ210" s="26"/>
      <c r="HR210" s="35"/>
      <c r="HS210" s="25"/>
      <c r="HT210" s="26"/>
      <c r="HU210" s="26"/>
      <c r="HV210" s="35"/>
      <c r="HW210" s="25"/>
      <c r="HX210" s="26"/>
      <c r="HY210" s="26"/>
      <c r="HZ210" s="35"/>
      <c r="IA210" s="25"/>
      <c r="IB210" s="26"/>
      <c r="IC210" s="26"/>
      <c r="ID210" s="35"/>
      <c r="IE210" s="25"/>
      <c r="IF210" s="26"/>
      <c r="IG210" s="26"/>
      <c r="IH210" s="35"/>
      <c r="II210" s="25"/>
      <c r="IJ210" s="26"/>
      <c r="IK210" s="26"/>
      <c r="IL210" s="35"/>
      <c r="IM210" s="25"/>
      <c r="IN210" s="26"/>
      <c r="IO210" s="26"/>
      <c r="IP210" s="35"/>
      <c r="IQ210" s="25"/>
      <c r="IR210" s="26"/>
      <c r="IS210" s="26"/>
      <c r="IT210" s="35"/>
      <c r="IU210" s="25"/>
      <c r="IV210" s="26"/>
    </row>
    <row r="211" spans="2:256" ht="30" customHeight="1" x14ac:dyDescent="0.25">
      <c r="B211" s="14"/>
      <c r="C211" s="113" t="s">
        <v>339</v>
      </c>
      <c r="D211" s="114" t="s">
        <v>340</v>
      </c>
      <c r="E211" s="115" t="e">
        <f>E209+E204+E159+E157+E151</f>
        <v>#REF!</v>
      </c>
      <c r="F211" s="115" t="e">
        <f>F209+F204+F159+F157+F151</f>
        <v>#REF!</v>
      </c>
      <c r="G211" s="115" t="e">
        <f>G209+G204+G159+G157+G151</f>
        <v>#REF!</v>
      </c>
      <c r="H211" s="115" t="e">
        <f>H209+H204+H159+H157+H151</f>
        <v>#REF!</v>
      </c>
      <c r="I211" s="104">
        <f t="shared" si="75"/>
        <v>1.3333333333333333</v>
      </c>
      <c r="J211" s="176"/>
      <c r="K211" s="117" t="e">
        <f t="shared" ref="K211:W211" si="78">K209+K204+K160+K157+K151</f>
        <v>#REF!</v>
      </c>
      <c r="L211" s="117" t="e">
        <f t="shared" si="78"/>
        <v>#REF!</v>
      </c>
      <c r="M211" s="117" t="e">
        <f t="shared" si="78"/>
        <v>#REF!</v>
      </c>
      <c r="N211" s="117" t="e">
        <f t="shared" si="78"/>
        <v>#REF!</v>
      </c>
      <c r="O211" s="118" t="e">
        <f t="shared" si="78"/>
        <v>#REF!</v>
      </c>
      <c r="P211" s="118" t="e">
        <f t="shared" si="78"/>
        <v>#REF!</v>
      </c>
      <c r="Q211" s="118" t="e">
        <f t="shared" si="78"/>
        <v>#REF!</v>
      </c>
      <c r="R211" s="117" t="e">
        <f t="shared" si="78"/>
        <v>#REF!</v>
      </c>
      <c r="S211" s="117" t="e">
        <f t="shared" si="78"/>
        <v>#REF!</v>
      </c>
      <c r="T211" s="117" t="e">
        <f t="shared" si="78"/>
        <v>#REF!</v>
      </c>
      <c r="U211" s="117" t="e">
        <f t="shared" si="78"/>
        <v>#REF!</v>
      </c>
      <c r="V211" s="117" t="e">
        <f t="shared" si="78"/>
        <v>#REF!</v>
      </c>
      <c r="W211" s="117" t="e">
        <f t="shared" si="78"/>
        <v>#REF!</v>
      </c>
      <c r="X211" s="117" t="e">
        <f>X209+X204+X160+X157+X151+#REF!</f>
        <v>#REF!</v>
      </c>
      <c r="Y211" s="117" t="e">
        <f>Y209+Y204+Y160+Y157+Y151+#REF!</f>
        <v>#REF!</v>
      </c>
      <c r="Z211" s="117" t="e">
        <f>Z209+Z204+Z160+Z157+Z151+#REF!</f>
        <v>#REF!</v>
      </c>
      <c r="AA211" s="117" t="e">
        <f>AA209+AA204+AA160+AA157+AA151+#REF!+#REF!</f>
        <v>#REF!</v>
      </c>
      <c r="AB211" s="117" t="e">
        <f>AB209+AB204+AB160+AB157+AB151+#REF!+#REF!</f>
        <v>#REF!</v>
      </c>
      <c r="AC211" s="117" t="e">
        <f>AC209+AC204+AC160+AC157+AC151+#REF!+#REF!</f>
        <v>#REF!</v>
      </c>
      <c r="AD211" s="117">
        <f>AD209+AD204+AD160+AD157+AD151</f>
        <v>90762000.400000006</v>
      </c>
      <c r="AE211" s="117">
        <f>AE209+AE204+AE160+AE157+AE151</f>
        <v>93184500</v>
      </c>
      <c r="AF211" s="117">
        <f>AF209+AF204+AF160+AF157+AF151</f>
        <v>104411500</v>
      </c>
      <c r="AG211" s="26"/>
      <c r="AH211" s="26"/>
      <c r="AI211" s="35"/>
      <c r="AJ211" s="25"/>
      <c r="AK211" s="26"/>
      <c r="AL211" s="26"/>
      <c r="AM211" s="35"/>
      <c r="AN211" s="25"/>
      <c r="AO211" s="26"/>
      <c r="AP211" s="35"/>
      <c r="AQ211" s="25"/>
      <c r="AR211" s="26"/>
      <c r="AS211" s="26"/>
      <c r="AT211" s="35"/>
      <c r="AU211" s="25"/>
      <c r="AV211" s="26"/>
      <c r="AW211" s="35"/>
      <c r="AX211" s="26"/>
      <c r="AY211" s="26"/>
      <c r="AZ211" s="35"/>
      <c r="BA211" s="26"/>
      <c r="BB211" s="35"/>
      <c r="BC211" s="25"/>
      <c r="BD211" s="26"/>
      <c r="BE211" s="26"/>
      <c r="BF211" s="35"/>
      <c r="BG211" s="25"/>
      <c r="BH211" s="26"/>
      <c r="BI211" s="26"/>
      <c r="BJ211" s="35"/>
      <c r="BK211" s="25"/>
      <c r="BL211" s="26"/>
      <c r="BM211" s="26"/>
      <c r="BN211" s="35"/>
      <c r="BO211" s="25"/>
      <c r="BP211" s="26"/>
      <c r="BQ211" s="26"/>
      <c r="BR211" s="35"/>
      <c r="BS211" s="25"/>
      <c r="BT211" s="26"/>
      <c r="BU211" s="26"/>
      <c r="BV211" s="35"/>
      <c r="BW211" s="25"/>
      <c r="BX211" s="26"/>
      <c r="BY211" s="26"/>
      <c r="BZ211" s="35"/>
      <c r="CA211" s="25"/>
      <c r="CB211" s="26"/>
      <c r="CC211" s="26"/>
      <c r="CD211" s="35"/>
      <c r="CE211" s="25"/>
      <c r="CF211" s="26"/>
      <c r="CG211" s="26"/>
      <c r="CH211" s="35"/>
      <c r="CI211" s="25"/>
      <c r="CJ211" s="26"/>
      <c r="CK211" s="26"/>
      <c r="CL211" s="35"/>
      <c r="CM211" s="25"/>
      <c r="CN211" s="26"/>
      <c r="CO211" s="26"/>
      <c r="CP211" s="35"/>
      <c r="CQ211" s="25"/>
      <c r="CR211" s="26"/>
      <c r="CS211" s="26"/>
      <c r="CT211" s="35"/>
      <c r="CU211" s="25"/>
      <c r="CV211" s="26"/>
      <c r="CW211" s="26"/>
      <c r="CX211" s="35"/>
      <c r="CY211" s="25"/>
      <c r="CZ211" s="26"/>
      <c r="DA211" s="26"/>
      <c r="DB211" s="35"/>
      <c r="DC211" s="25"/>
      <c r="DD211" s="26"/>
      <c r="DE211" s="26"/>
      <c r="DF211" s="35"/>
      <c r="DG211" s="25"/>
      <c r="DH211" s="26"/>
      <c r="DI211" s="26"/>
      <c r="DJ211" s="35"/>
      <c r="DK211" s="25"/>
      <c r="DL211" s="26"/>
      <c r="DM211" s="26"/>
      <c r="DN211" s="35"/>
      <c r="DO211" s="25"/>
      <c r="DP211" s="26"/>
      <c r="DQ211" s="26"/>
      <c r="DR211" s="35"/>
      <c r="DS211" s="25"/>
      <c r="DT211" s="26"/>
      <c r="DU211" s="26"/>
      <c r="DV211" s="35"/>
      <c r="DW211" s="25"/>
      <c r="DX211" s="26"/>
      <c r="DY211" s="26"/>
      <c r="DZ211" s="35"/>
      <c r="EA211" s="25"/>
      <c r="EB211" s="26"/>
      <c r="EC211" s="26"/>
      <c r="ED211" s="35"/>
      <c r="EE211" s="25"/>
      <c r="EF211" s="26"/>
      <c r="EG211" s="26"/>
      <c r="EH211" s="35"/>
      <c r="EI211" s="25"/>
      <c r="EJ211" s="26"/>
      <c r="EK211" s="26"/>
      <c r="EL211" s="35"/>
      <c r="EM211" s="25"/>
      <c r="EN211" s="26"/>
      <c r="EO211" s="26"/>
      <c r="EP211" s="35"/>
      <c r="EQ211" s="25"/>
      <c r="ER211" s="26"/>
      <c r="ES211" s="26"/>
      <c r="ET211" s="35"/>
      <c r="EU211" s="25"/>
      <c r="EV211" s="26"/>
      <c r="EW211" s="26"/>
      <c r="EX211" s="35"/>
      <c r="EY211" s="25"/>
      <c r="EZ211" s="26"/>
      <c r="FA211" s="26"/>
      <c r="FB211" s="35"/>
      <c r="FC211" s="25"/>
      <c r="FD211" s="26"/>
      <c r="FE211" s="26"/>
      <c r="FF211" s="35"/>
      <c r="FG211" s="25"/>
      <c r="FH211" s="26"/>
      <c r="FI211" s="26"/>
      <c r="FJ211" s="35"/>
      <c r="FK211" s="25"/>
      <c r="FL211" s="26"/>
      <c r="FM211" s="26"/>
      <c r="FN211" s="35"/>
      <c r="FO211" s="25"/>
      <c r="FP211" s="26"/>
      <c r="FQ211" s="26"/>
      <c r="FR211" s="35"/>
      <c r="FS211" s="25"/>
      <c r="FT211" s="26"/>
      <c r="FU211" s="26"/>
      <c r="FV211" s="35"/>
      <c r="FW211" s="25"/>
      <c r="FX211" s="26"/>
      <c r="FY211" s="26"/>
      <c r="FZ211" s="35"/>
      <c r="GA211" s="25"/>
      <c r="GB211" s="26"/>
      <c r="GC211" s="26"/>
      <c r="GD211" s="35"/>
      <c r="GE211" s="25"/>
      <c r="GF211" s="26"/>
      <c r="GG211" s="26"/>
      <c r="GH211" s="35"/>
      <c r="GI211" s="25"/>
      <c r="GJ211" s="26"/>
      <c r="GK211" s="26"/>
      <c r="GL211" s="35"/>
      <c r="GM211" s="25"/>
      <c r="GN211" s="26"/>
      <c r="GO211" s="26"/>
      <c r="GP211" s="35"/>
      <c r="GQ211" s="25"/>
      <c r="GR211" s="26"/>
      <c r="GS211" s="26"/>
      <c r="GT211" s="35"/>
      <c r="GU211" s="25"/>
      <c r="GV211" s="26"/>
      <c r="GW211" s="26"/>
      <c r="GX211" s="35"/>
      <c r="GY211" s="25"/>
      <c r="GZ211" s="26"/>
      <c r="HA211" s="26"/>
      <c r="HB211" s="35"/>
      <c r="HC211" s="25"/>
      <c r="HD211" s="26"/>
      <c r="HE211" s="26"/>
      <c r="HF211" s="35"/>
      <c r="HG211" s="25"/>
      <c r="HH211" s="26"/>
      <c r="HI211" s="26"/>
      <c r="HJ211" s="35"/>
      <c r="HK211" s="25"/>
      <c r="HL211" s="26"/>
      <c r="HM211" s="26"/>
      <c r="HN211" s="35"/>
      <c r="HO211" s="25"/>
      <c r="HP211" s="26"/>
      <c r="HQ211" s="26"/>
      <c r="HR211" s="35"/>
      <c r="HS211" s="25"/>
      <c r="HT211" s="26"/>
      <c r="HU211" s="26"/>
      <c r="HV211" s="35"/>
      <c r="HW211" s="25"/>
      <c r="HX211" s="26"/>
      <c r="HY211" s="26"/>
      <c r="HZ211" s="35"/>
      <c r="IA211" s="25"/>
      <c r="IB211" s="26"/>
      <c r="IC211" s="26"/>
      <c r="ID211" s="35"/>
      <c r="IE211" s="25"/>
      <c r="IF211" s="26"/>
      <c r="IG211" s="26"/>
      <c r="IH211" s="35"/>
      <c r="II211" s="25"/>
      <c r="IJ211" s="26"/>
      <c r="IK211" s="26"/>
      <c r="IL211" s="35"/>
      <c r="IM211" s="25"/>
      <c r="IN211" s="26"/>
      <c r="IO211" s="26"/>
      <c r="IP211" s="35"/>
      <c r="IQ211" s="25"/>
      <c r="IR211" s="26"/>
      <c r="IS211" s="26"/>
      <c r="IT211" s="35"/>
      <c r="IU211" s="25"/>
      <c r="IV211" s="26"/>
    </row>
    <row r="212" spans="2:256" ht="30" customHeight="1" x14ac:dyDescent="0.25">
      <c r="B212" s="14">
        <v>2257716</v>
      </c>
      <c r="C212" s="102">
        <v>413100.21100000001</v>
      </c>
      <c r="D212" s="103" t="s">
        <v>366</v>
      </c>
      <c r="E212" s="104">
        <v>4800000</v>
      </c>
      <c r="F212" s="105"/>
      <c r="G212" s="126">
        <v>5031250</v>
      </c>
      <c r="H212" s="104">
        <v>3500000</v>
      </c>
      <c r="I212" s="104">
        <f t="shared" si="75"/>
        <v>1.3333333333333333</v>
      </c>
      <c r="J212" s="176"/>
      <c r="K212" s="148">
        <v>2500000</v>
      </c>
      <c r="L212" s="108">
        <v>2738000</v>
      </c>
      <c r="M212" s="107">
        <v>1006073</v>
      </c>
      <c r="N212" s="108"/>
      <c r="O212" s="109">
        <v>1400000</v>
      </c>
      <c r="P212" s="109">
        <v>474305</v>
      </c>
      <c r="Q212" s="109">
        <f>P212/8*4</f>
        <v>237152.5</v>
      </c>
      <c r="R212" s="148">
        <v>500000</v>
      </c>
      <c r="S212" s="148">
        <v>600000</v>
      </c>
      <c r="T212" s="107">
        <f>Q212+P212</f>
        <v>711457.5</v>
      </c>
      <c r="U212" s="107">
        <f>S212</f>
        <v>600000</v>
      </c>
      <c r="V212" s="107">
        <v>250299</v>
      </c>
      <c r="W212" s="107">
        <f>V212*2+50000</f>
        <v>550598</v>
      </c>
      <c r="X212" s="110">
        <v>550000</v>
      </c>
      <c r="Y212" s="107">
        <v>324446</v>
      </c>
      <c r="Z212" s="107">
        <f>Y212*12/10</f>
        <v>389335.2</v>
      </c>
      <c r="AA212" s="110">
        <v>400000</v>
      </c>
      <c r="AB212" s="110">
        <v>227307</v>
      </c>
      <c r="AC212" s="110">
        <v>270000</v>
      </c>
      <c r="AD212" s="108">
        <v>250000</v>
      </c>
      <c r="AE212" s="107">
        <v>200000</v>
      </c>
      <c r="AF212" s="108">
        <v>200000</v>
      </c>
      <c r="AG212" s="26"/>
      <c r="AH212" s="26"/>
      <c r="AI212" s="35"/>
      <c r="AJ212" s="25"/>
      <c r="AK212" s="26"/>
      <c r="AL212" s="26"/>
      <c r="AM212" s="35"/>
      <c r="AN212" s="25"/>
      <c r="AO212" s="26"/>
      <c r="AP212" s="35"/>
      <c r="AQ212" s="25"/>
      <c r="AR212" s="26"/>
      <c r="AS212" s="26"/>
      <c r="AT212" s="35"/>
      <c r="AU212" s="25"/>
      <c r="AV212" s="26"/>
      <c r="AW212" s="35"/>
      <c r="AX212" s="26"/>
      <c r="AY212" s="26"/>
      <c r="AZ212" s="35"/>
      <c r="BA212" s="26"/>
      <c r="BB212" s="35"/>
      <c r="BC212" s="25"/>
      <c r="BD212" s="26"/>
      <c r="BE212" s="26"/>
      <c r="BF212" s="35"/>
      <c r="BG212" s="25"/>
      <c r="BH212" s="26"/>
      <c r="BI212" s="26"/>
      <c r="BJ212" s="35"/>
      <c r="BK212" s="25"/>
      <c r="BL212" s="26"/>
      <c r="BM212" s="26"/>
      <c r="BN212" s="35"/>
      <c r="BO212" s="25"/>
      <c r="BP212" s="26"/>
      <c r="BQ212" s="26"/>
      <c r="BR212" s="35"/>
      <c r="BS212" s="25"/>
      <c r="BT212" s="26"/>
      <c r="BU212" s="26"/>
      <c r="BV212" s="35"/>
      <c r="BW212" s="25"/>
      <c r="BX212" s="26"/>
      <c r="BY212" s="26"/>
      <c r="BZ212" s="35"/>
      <c r="CA212" s="25"/>
      <c r="CB212" s="26"/>
      <c r="CC212" s="26"/>
      <c r="CD212" s="35"/>
      <c r="CE212" s="25"/>
      <c r="CF212" s="26"/>
      <c r="CG212" s="26"/>
      <c r="CH212" s="35"/>
      <c r="CI212" s="25"/>
      <c r="CJ212" s="26"/>
      <c r="CK212" s="26"/>
      <c r="CL212" s="35"/>
      <c r="CM212" s="25"/>
      <c r="CN212" s="26"/>
      <c r="CO212" s="26"/>
      <c r="CP212" s="35"/>
      <c r="CQ212" s="25"/>
      <c r="CR212" s="26"/>
      <c r="CS212" s="26"/>
      <c r="CT212" s="35"/>
      <c r="CU212" s="25"/>
      <c r="CV212" s="26"/>
      <c r="CW212" s="26"/>
      <c r="CX212" s="35"/>
      <c r="CY212" s="25"/>
      <c r="CZ212" s="26"/>
      <c r="DA212" s="26"/>
      <c r="DB212" s="35"/>
      <c r="DC212" s="25"/>
      <c r="DD212" s="26"/>
      <c r="DE212" s="26"/>
      <c r="DF212" s="35"/>
      <c r="DG212" s="25"/>
      <c r="DH212" s="26"/>
      <c r="DI212" s="26"/>
      <c r="DJ212" s="35"/>
      <c r="DK212" s="25"/>
      <c r="DL212" s="26"/>
      <c r="DM212" s="26"/>
      <c r="DN212" s="35"/>
      <c r="DO212" s="25"/>
      <c r="DP212" s="26"/>
      <c r="DQ212" s="26"/>
      <c r="DR212" s="35"/>
      <c r="DS212" s="25"/>
      <c r="DT212" s="26"/>
      <c r="DU212" s="26"/>
      <c r="DV212" s="35"/>
      <c r="DW212" s="25"/>
      <c r="DX212" s="26"/>
      <c r="DY212" s="26"/>
      <c r="DZ212" s="35"/>
      <c r="EA212" s="25"/>
      <c r="EB212" s="26"/>
      <c r="EC212" s="26"/>
      <c r="ED212" s="35"/>
      <c r="EE212" s="25"/>
      <c r="EF212" s="26"/>
      <c r="EG212" s="26"/>
      <c r="EH212" s="35"/>
      <c r="EI212" s="25"/>
      <c r="EJ212" s="26"/>
      <c r="EK212" s="26"/>
      <c r="EL212" s="35"/>
      <c r="EM212" s="25"/>
      <c r="EN212" s="26"/>
      <c r="EO212" s="26"/>
      <c r="EP212" s="35"/>
      <c r="EQ212" s="25"/>
      <c r="ER212" s="26"/>
      <c r="ES212" s="26"/>
      <c r="ET212" s="35"/>
      <c r="EU212" s="25"/>
      <c r="EV212" s="26"/>
      <c r="EW212" s="26"/>
      <c r="EX212" s="35"/>
      <c r="EY212" s="25"/>
      <c r="EZ212" s="26"/>
      <c r="FA212" s="26"/>
      <c r="FB212" s="35"/>
      <c r="FC212" s="25"/>
      <c r="FD212" s="26"/>
      <c r="FE212" s="26"/>
      <c r="FF212" s="35"/>
      <c r="FG212" s="25"/>
      <c r="FH212" s="26"/>
      <c r="FI212" s="26"/>
      <c r="FJ212" s="35"/>
      <c r="FK212" s="25"/>
      <c r="FL212" s="26"/>
      <c r="FM212" s="26"/>
      <c r="FN212" s="35"/>
      <c r="FO212" s="25"/>
      <c r="FP212" s="26"/>
      <c r="FQ212" s="26"/>
      <c r="FR212" s="35"/>
      <c r="FS212" s="25"/>
      <c r="FT212" s="26"/>
      <c r="FU212" s="26"/>
      <c r="FV212" s="35"/>
      <c r="FW212" s="25"/>
      <c r="FX212" s="26"/>
      <c r="FY212" s="26"/>
      <c r="FZ212" s="35"/>
      <c r="GA212" s="25"/>
      <c r="GB212" s="26"/>
      <c r="GC212" s="26"/>
      <c r="GD212" s="35"/>
      <c r="GE212" s="25"/>
      <c r="GF212" s="26"/>
      <c r="GG212" s="26"/>
      <c r="GH212" s="35"/>
      <c r="GI212" s="25"/>
      <c r="GJ212" s="26"/>
      <c r="GK212" s="26"/>
      <c r="GL212" s="35"/>
      <c r="GM212" s="25"/>
      <c r="GN212" s="26"/>
      <c r="GO212" s="26"/>
      <c r="GP212" s="35"/>
      <c r="GQ212" s="25"/>
      <c r="GR212" s="26"/>
      <c r="GS212" s="26"/>
      <c r="GT212" s="35"/>
      <c r="GU212" s="25"/>
      <c r="GV212" s="26"/>
      <c r="GW212" s="26"/>
      <c r="GX212" s="35"/>
      <c r="GY212" s="25"/>
      <c r="GZ212" s="26"/>
      <c r="HA212" s="26"/>
      <c r="HB212" s="35"/>
      <c r="HC212" s="25"/>
      <c r="HD212" s="26"/>
      <c r="HE212" s="26"/>
      <c r="HF212" s="35"/>
      <c r="HG212" s="25"/>
      <c r="HH212" s="26"/>
      <c r="HI212" s="26"/>
      <c r="HJ212" s="35"/>
      <c r="HK212" s="25"/>
      <c r="HL212" s="26"/>
      <c r="HM212" s="26"/>
      <c r="HN212" s="35"/>
      <c r="HO212" s="25"/>
      <c r="HP212" s="26"/>
      <c r="HQ212" s="26"/>
      <c r="HR212" s="35"/>
      <c r="HS212" s="25"/>
      <c r="HT212" s="26"/>
      <c r="HU212" s="26"/>
      <c r="HV212" s="35"/>
      <c r="HW212" s="25"/>
      <c r="HX212" s="26"/>
      <c r="HY212" s="26"/>
      <c r="HZ212" s="35"/>
      <c r="IA212" s="25"/>
      <c r="IB212" s="26"/>
      <c r="IC212" s="26"/>
      <c r="ID212" s="35"/>
      <c r="IE212" s="25"/>
      <c r="IF212" s="26"/>
      <c r="IG212" s="26"/>
      <c r="IH212" s="35"/>
      <c r="II212" s="25"/>
      <c r="IJ212" s="26"/>
      <c r="IK212" s="26"/>
      <c r="IL212" s="35"/>
      <c r="IM212" s="25"/>
      <c r="IN212" s="26"/>
      <c r="IO212" s="26"/>
      <c r="IP212" s="35"/>
      <c r="IQ212" s="25"/>
      <c r="IR212" s="26"/>
      <c r="IS212" s="26"/>
      <c r="IT212" s="35"/>
      <c r="IU212" s="25"/>
      <c r="IV212" s="26"/>
    </row>
    <row r="213" spans="2:256" ht="30" customHeight="1" x14ac:dyDescent="0.25">
      <c r="B213" s="14"/>
      <c r="C213" s="113" t="s">
        <v>329</v>
      </c>
      <c r="D213" s="139"/>
      <c r="E213" s="115">
        <f>SUM(E212:E212)</f>
        <v>4800000</v>
      </c>
      <c r="F213" s="115">
        <f>SUM(F212:F212)</f>
        <v>0</v>
      </c>
      <c r="G213" s="115">
        <f>SUM(G212:G212)</f>
        <v>5031250</v>
      </c>
      <c r="H213" s="115">
        <f>SUM(H212:H212)</f>
        <v>3500000</v>
      </c>
      <c r="I213" s="104">
        <f t="shared" si="75"/>
        <v>1.3333333333333333</v>
      </c>
      <c r="J213" s="176"/>
      <c r="K213" s="117">
        <f t="shared" ref="K213:AF213" si="79">SUM(K212:K212)</f>
        <v>2500000</v>
      </c>
      <c r="L213" s="117">
        <f t="shared" si="79"/>
        <v>2738000</v>
      </c>
      <c r="M213" s="117">
        <f t="shared" si="79"/>
        <v>1006073</v>
      </c>
      <c r="N213" s="117">
        <f t="shared" si="79"/>
        <v>0</v>
      </c>
      <c r="O213" s="118">
        <f t="shared" si="79"/>
        <v>1400000</v>
      </c>
      <c r="P213" s="118">
        <f t="shared" si="79"/>
        <v>474305</v>
      </c>
      <c r="Q213" s="118">
        <f t="shared" si="79"/>
        <v>237152.5</v>
      </c>
      <c r="R213" s="117">
        <f t="shared" si="79"/>
        <v>500000</v>
      </c>
      <c r="S213" s="117">
        <f t="shared" si="79"/>
        <v>600000</v>
      </c>
      <c r="T213" s="117">
        <f t="shared" si="79"/>
        <v>711457.5</v>
      </c>
      <c r="U213" s="117">
        <f t="shared" si="79"/>
        <v>600000</v>
      </c>
      <c r="V213" s="117">
        <f t="shared" si="79"/>
        <v>250299</v>
      </c>
      <c r="W213" s="117">
        <f t="shared" si="79"/>
        <v>550598</v>
      </c>
      <c r="X213" s="117">
        <f t="shared" si="79"/>
        <v>550000</v>
      </c>
      <c r="Y213" s="117">
        <f t="shared" si="79"/>
        <v>324446</v>
      </c>
      <c r="Z213" s="117">
        <f t="shared" si="79"/>
        <v>389335.2</v>
      </c>
      <c r="AA213" s="117">
        <f t="shared" si="79"/>
        <v>400000</v>
      </c>
      <c r="AB213" s="117">
        <f t="shared" si="79"/>
        <v>227307</v>
      </c>
      <c r="AC213" s="117">
        <f t="shared" si="79"/>
        <v>270000</v>
      </c>
      <c r="AD213" s="117">
        <f t="shared" si="79"/>
        <v>250000</v>
      </c>
      <c r="AE213" s="117">
        <f t="shared" si="79"/>
        <v>200000</v>
      </c>
      <c r="AF213" s="117">
        <f t="shared" si="79"/>
        <v>200000</v>
      </c>
      <c r="AG213" s="26"/>
      <c r="AH213" s="26"/>
      <c r="AI213" s="35"/>
      <c r="AJ213" s="25"/>
      <c r="AK213" s="26"/>
      <c r="AL213" s="26"/>
      <c r="AM213" s="35"/>
      <c r="AN213" s="25"/>
      <c r="AO213" s="26"/>
      <c r="AP213" s="35"/>
      <c r="AQ213" s="25"/>
      <c r="AR213" s="26"/>
      <c r="AS213" s="26"/>
      <c r="AT213" s="35"/>
      <c r="AU213" s="25"/>
      <c r="AV213" s="26"/>
      <c r="AW213" s="35"/>
      <c r="AX213" s="26"/>
      <c r="AY213" s="26"/>
      <c r="AZ213" s="35"/>
      <c r="BA213" s="26"/>
      <c r="BB213" s="35"/>
      <c r="BC213" s="25"/>
      <c r="BD213" s="26"/>
      <c r="BE213" s="26"/>
      <c r="BF213" s="35"/>
      <c r="BG213" s="25"/>
      <c r="BH213" s="26"/>
      <c r="BI213" s="26"/>
      <c r="BJ213" s="35"/>
      <c r="BK213" s="25"/>
      <c r="BL213" s="26"/>
      <c r="BM213" s="26"/>
      <c r="BN213" s="35"/>
      <c r="BO213" s="25"/>
      <c r="BP213" s="26"/>
      <c r="BQ213" s="26"/>
      <c r="BR213" s="35"/>
      <c r="BS213" s="25"/>
      <c r="BT213" s="26"/>
      <c r="BU213" s="26"/>
      <c r="BV213" s="35"/>
      <c r="BW213" s="25"/>
      <c r="BX213" s="26"/>
      <c r="BY213" s="26"/>
      <c r="BZ213" s="35"/>
      <c r="CA213" s="25"/>
      <c r="CB213" s="26"/>
      <c r="CC213" s="26"/>
      <c r="CD213" s="35"/>
      <c r="CE213" s="25"/>
      <c r="CF213" s="26"/>
      <c r="CG213" s="26"/>
      <c r="CH213" s="35"/>
      <c r="CI213" s="25"/>
      <c r="CJ213" s="26"/>
      <c r="CK213" s="26"/>
      <c r="CL213" s="35"/>
      <c r="CM213" s="25"/>
      <c r="CN213" s="26"/>
      <c r="CO213" s="26"/>
      <c r="CP213" s="35"/>
      <c r="CQ213" s="25"/>
      <c r="CR213" s="26"/>
      <c r="CS213" s="26"/>
      <c r="CT213" s="35"/>
      <c r="CU213" s="25"/>
      <c r="CV213" s="26"/>
      <c r="CW213" s="26"/>
      <c r="CX213" s="35"/>
      <c r="CY213" s="25"/>
      <c r="CZ213" s="26"/>
      <c r="DA213" s="26"/>
      <c r="DB213" s="35"/>
      <c r="DC213" s="25"/>
      <c r="DD213" s="26"/>
      <c r="DE213" s="26"/>
      <c r="DF213" s="35"/>
      <c r="DG213" s="25"/>
      <c r="DH213" s="26"/>
      <c r="DI213" s="26"/>
      <c r="DJ213" s="35"/>
      <c r="DK213" s="25"/>
      <c r="DL213" s="26"/>
      <c r="DM213" s="26"/>
      <c r="DN213" s="35"/>
      <c r="DO213" s="25"/>
      <c r="DP213" s="26"/>
      <c r="DQ213" s="26"/>
      <c r="DR213" s="35"/>
      <c r="DS213" s="25"/>
      <c r="DT213" s="26"/>
      <c r="DU213" s="26"/>
      <c r="DV213" s="35"/>
      <c r="DW213" s="25"/>
      <c r="DX213" s="26"/>
      <c r="DY213" s="26"/>
      <c r="DZ213" s="35"/>
      <c r="EA213" s="25"/>
      <c r="EB213" s="26"/>
      <c r="EC213" s="26"/>
      <c r="ED213" s="35"/>
      <c r="EE213" s="25"/>
      <c r="EF213" s="26"/>
      <c r="EG213" s="26"/>
      <c r="EH213" s="35"/>
      <c r="EI213" s="25"/>
      <c r="EJ213" s="26"/>
      <c r="EK213" s="26"/>
      <c r="EL213" s="35"/>
      <c r="EM213" s="25"/>
      <c r="EN213" s="26"/>
      <c r="EO213" s="26"/>
      <c r="EP213" s="35"/>
      <c r="EQ213" s="25"/>
      <c r="ER213" s="26"/>
      <c r="ES213" s="26"/>
      <c r="ET213" s="35"/>
      <c r="EU213" s="25"/>
      <c r="EV213" s="26"/>
      <c r="EW213" s="26"/>
      <c r="EX213" s="35"/>
      <c r="EY213" s="25"/>
      <c r="EZ213" s="26"/>
      <c r="FA213" s="26"/>
      <c r="FB213" s="35"/>
      <c r="FC213" s="25"/>
      <c r="FD213" s="26"/>
      <c r="FE213" s="26"/>
      <c r="FF213" s="35"/>
      <c r="FG213" s="25"/>
      <c r="FH213" s="26"/>
      <c r="FI213" s="26"/>
      <c r="FJ213" s="35"/>
      <c r="FK213" s="25"/>
      <c r="FL213" s="26"/>
      <c r="FM213" s="26"/>
      <c r="FN213" s="35"/>
      <c r="FO213" s="25"/>
      <c r="FP213" s="26"/>
      <c r="FQ213" s="26"/>
      <c r="FR213" s="35"/>
      <c r="FS213" s="25"/>
      <c r="FT213" s="26"/>
      <c r="FU213" s="26"/>
      <c r="FV213" s="35"/>
      <c r="FW213" s="25"/>
      <c r="FX213" s="26"/>
      <c r="FY213" s="26"/>
      <c r="FZ213" s="35"/>
      <c r="GA213" s="25"/>
      <c r="GB213" s="26"/>
      <c r="GC213" s="26"/>
      <c r="GD213" s="35"/>
      <c r="GE213" s="25"/>
      <c r="GF213" s="26"/>
      <c r="GG213" s="26"/>
      <c r="GH213" s="35"/>
      <c r="GI213" s="25"/>
      <c r="GJ213" s="26"/>
      <c r="GK213" s="26"/>
      <c r="GL213" s="35"/>
      <c r="GM213" s="25"/>
      <c r="GN213" s="26"/>
      <c r="GO213" s="26"/>
      <c r="GP213" s="35"/>
      <c r="GQ213" s="25"/>
      <c r="GR213" s="26"/>
      <c r="GS213" s="26"/>
      <c r="GT213" s="35"/>
      <c r="GU213" s="25"/>
      <c r="GV213" s="26"/>
      <c r="GW213" s="26"/>
      <c r="GX213" s="35"/>
      <c r="GY213" s="25"/>
      <c r="GZ213" s="26"/>
      <c r="HA213" s="26"/>
      <c r="HB213" s="35"/>
      <c r="HC213" s="25"/>
      <c r="HD213" s="26"/>
      <c r="HE213" s="26"/>
      <c r="HF213" s="35"/>
      <c r="HG213" s="25"/>
      <c r="HH213" s="26"/>
      <c r="HI213" s="26"/>
      <c r="HJ213" s="35"/>
      <c r="HK213" s="25"/>
      <c r="HL213" s="26"/>
      <c r="HM213" s="26"/>
      <c r="HN213" s="35"/>
      <c r="HO213" s="25"/>
      <c r="HP213" s="26"/>
      <c r="HQ213" s="26"/>
      <c r="HR213" s="35"/>
      <c r="HS213" s="25"/>
      <c r="HT213" s="26"/>
      <c r="HU213" s="26"/>
      <c r="HV213" s="35"/>
      <c r="HW213" s="25"/>
      <c r="HX213" s="26"/>
      <c r="HY213" s="26"/>
      <c r="HZ213" s="35"/>
      <c r="IA213" s="25"/>
      <c r="IB213" s="26"/>
      <c r="IC213" s="26"/>
      <c r="ID213" s="35"/>
      <c r="IE213" s="25"/>
      <c r="IF213" s="26"/>
      <c r="IG213" s="26"/>
      <c r="IH213" s="35"/>
      <c r="II213" s="25"/>
      <c r="IJ213" s="26"/>
      <c r="IK213" s="26"/>
      <c r="IL213" s="35"/>
      <c r="IM213" s="25"/>
      <c r="IN213" s="26"/>
      <c r="IO213" s="26"/>
      <c r="IP213" s="35"/>
      <c r="IQ213" s="25"/>
      <c r="IR213" s="26"/>
      <c r="IS213" s="26"/>
      <c r="IT213" s="35"/>
      <c r="IU213" s="25"/>
      <c r="IV213" s="26"/>
    </row>
    <row r="214" spans="2:256" ht="30" customHeight="1" x14ac:dyDescent="0.25">
      <c r="B214" s="14">
        <v>155007</v>
      </c>
      <c r="C214" s="102"/>
      <c r="D214" s="103"/>
      <c r="E214" s="104">
        <v>200000</v>
      </c>
      <c r="F214" s="105"/>
      <c r="G214" s="126">
        <v>150000</v>
      </c>
      <c r="H214" s="104">
        <v>85000</v>
      </c>
      <c r="I214" s="104">
        <f t="shared" si="75"/>
        <v>1.3333333333333333</v>
      </c>
      <c r="J214" s="176"/>
      <c r="K214" s="107">
        <v>5000</v>
      </c>
      <c r="L214" s="108">
        <v>5000</v>
      </c>
      <c r="M214" s="107">
        <v>0</v>
      </c>
      <c r="N214" s="108"/>
      <c r="O214" s="109">
        <f>M214*4/3</f>
        <v>0</v>
      </c>
      <c r="P214" s="109">
        <v>91543</v>
      </c>
      <c r="Q214" s="109">
        <f>P214/8*4</f>
        <v>45771.5</v>
      </c>
      <c r="R214" s="107">
        <v>5000</v>
      </c>
      <c r="S214" s="107"/>
      <c r="T214" s="107">
        <f>Q214+P214</f>
        <v>137314.5</v>
      </c>
      <c r="U214" s="107">
        <f>S214</f>
        <v>0</v>
      </c>
      <c r="V214" s="107">
        <v>0</v>
      </c>
      <c r="W214" s="107">
        <f>V214*2</f>
        <v>0</v>
      </c>
      <c r="X214" s="110">
        <f>U214</f>
        <v>0</v>
      </c>
      <c r="Y214" s="107">
        <v>0</v>
      </c>
      <c r="Z214" s="107">
        <f>Y214*12/10</f>
        <v>0</v>
      </c>
      <c r="AA214" s="110"/>
      <c r="AB214" s="110"/>
      <c r="AC214" s="110"/>
      <c r="AD214" s="110"/>
      <c r="AE214" s="159"/>
      <c r="AF214" s="110"/>
      <c r="AG214" s="26"/>
      <c r="AH214" s="26"/>
      <c r="AI214" s="35"/>
      <c r="AJ214" s="25"/>
      <c r="AK214" s="26"/>
      <c r="AL214" s="26"/>
      <c r="AM214" s="35"/>
      <c r="AN214" s="25"/>
      <c r="AO214" s="26"/>
      <c r="AP214" s="35"/>
      <c r="AQ214" s="25"/>
      <c r="AR214" s="26"/>
      <c r="AS214" s="26"/>
      <c r="AT214" s="35"/>
      <c r="AU214" s="25"/>
      <c r="AV214" s="26"/>
      <c r="AW214" s="35"/>
      <c r="AX214" s="26"/>
      <c r="AY214" s="26"/>
      <c r="AZ214" s="35"/>
      <c r="BA214" s="26"/>
      <c r="BB214" s="35"/>
      <c r="BC214" s="25"/>
      <c r="BD214" s="26"/>
      <c r="BE214" s="26"/>
      <c r="BF214" s="35"/>
      <c r="BG214" s="25"/>
      <c r="BH214" s="26"/>
      <c r="BI214" s="26"/>
      <c r="BJ214" s="35"/>
      <c r="BK214" s="25"/>
      <c r="BL214" s="26"/>
      <c r="BM214" s="26"/>
      <c r="BN214" s="35"/>
      <c r="BO214" s="25"/>
      <c r="BP214" s="26"/>
      <c r="BQ214" s="26"/>
      <c r="BR214" s="35"/>
      <c r="BS214" s="25"/>
      <c r="BT214" s="26"/>
      <c r="BU214" s="26"/>
      <c r="BV214" s="35"/>
      <c r="BW214" s="25"/>
      <c r="BX214" s="26"/>
      <c r="BY214" s="26"/>
      <c r="BZ214" s="35"/>
      <c r="CA214" s="25"/>
      <c r="CB214" s="26"/>
      <c r="CC214" s="26"/>
      <c r="CD214" s="35"/>
      <c r="CE214" s="25"/>
      <c r="CF214" s="26"/>
      <c r="CG214" s="26"/>
      <c r="CH214" s="35"/>
      <c r="CI214" s="25"/>
      <c r="CJ214" s="26"/>
      <c r="CK214" s="26"/>
      <c r="CL214" s="35"/>
      <c r="CM214" s="25"/>
      <c r="CN214" s="26"/>
      <c r="CO214" s="26"/>
      <c r="CP214" s="35"/>
      <c r="CQ214" s="25"/>
      <c r="CR214" s="26"/>
      <c r="CS214" s="26"/>
      <c r="CT214" s="35"/>
      <c r="CU214" s="25"/>
      <c r="CV214" s="26"/>
      <c r="CW214" s="26"/>
      <c r="CX214" s="35"/>
      <c r="CY214" s="25"/>
      <c r="CZ214" s="26"/>
      <c r="DA214" s="26"/>
      <c r="DB214" s="35"/>
      <c r="DC214" s="25"/>
      <c r="DD214" s="26"/>
      <c r="DE214" s="26"/>
      <c r="DF214" s="35"/>
      <c r="DG214" s="25"/>
      <c r="DH214" s="26"/>
      <c r="DI214" s="26"/>
      <c r="DJ214" s="35"/>
      <c r="DK214" s="25"/>
      <c r="DL214" s="26"/>
      <c r="DM214" s="26"/>
      <c r="DN214" s="35"/>
      <c r="DO214" s="25"/>
      <c r="DP214" s="26"/>
      <c r="DQ214" s="26"/>
      <c r="DR214" s="35"/>
      <c r="DS214" s="25"/>
      <c r="DT214" s="26"/>
      <c r="DU214" s="26"/>
      <c r="DV214" s="35"/>
      <c r="DW214" s="25"/>
      <c r="DX214" s="26"/>
      <c r="DY214" s="26"/>
      <c r="DZ214" s="35"/>
      <c r="EA214" s="25"/>
      <c r="EB214" s="26"/>
      <c r="EC214" s="26"/>
      <c r="ED214" s="35"/>
      <c r="EE214" s="25"/>
      <c r="EF214" s="26"/>
      <c r="EG214" s="26"/>
      <c r="EH214" s="35"/>
      <c r="EI214" s="25"/>
      <c r="EJ214" s="26"/>
      <c r="EK214" s="26"/>
      <c r="EL214" s="35"/>
      <c r="EM214" s="25"/>
      <c r="EN214" s="26"/>
      <c r="EO214" s="26"/>
      <c r="EP214" s="35"/>
      <c r="EQ214" s="25"/>
      <c r="ER214" s="26"/>
      <c r="ES214" s="26"/>
      <c r="ET214" s="35"/>
      <c r="EU214" s="25"/>
      <c r="EV214" s="26"/>
      <c r="EW214" s="26"/>
      <c r="EX214" s="35"/>
      <c r="EY214" s="25"/>
      <c r="EZ214" s="26"/>
      <c r="FA214" s="26"/>
      <c r="FB214" s="35"/>
      <c r="FC214" s="25"/>
      <c r="FD214" s="26"/>
      <c r="FE214" s="26"/>
      <c r="FF214" s="35"/>
      <c r="FG214" s="25"/>
      <c r="FH214" s="26"/>
      <c r="FI214" s="26"/>
      <c r="FJ214" s="35"/>
      <c r="FK214" s="25"/>
      <c r="FL214" s="26"/>
      <c r="FM214" s="26"/>
      <c r="FN214" s="35"/>
      <c r="FO214" s="25"/>
      <c r="FP214" s="26"/>
      <c r="FQ214" s="26"/>
      <c r="FR214" s="35"/>
      <c r="FS214" s="25"/>
      <c r="FT214" s="26"/>
      <c r="FU214" s="26"/>
      <c r="FV214" s="35"/>
      <c r="FW214" s="25"/>
      <c r="FX214" s="26"/>
      <c r="FY214" s="26"/>
      <c r="FZ214" s="35"/>
      <c r="GA214" s="25"/>
      <c r="GB214" s="26"/>
      <c r="GC214" s="26"/>
      <c r="GD214" s="35"/>
      <c r="GE214" s="25"/>
      <c r="GF214" s="26"/>
      <c r="GG214" s="26"/>
      <c r="GH214" s="35"/>
      <c r="GI214" s="25"/>
      <c r="GJ214" s="26"/>
      <c r="GK214" s="26"/>
      <c r="GL214" s="35"/>
      <c r="GM214" s="25"/>
      <c r="GN214" s="26"/>
      <c r="GO214" s="26"/>
      <c r="GP214" s="35"/>
      <c r="GQ214" s="25"/>
      <c r="GR214" s="26"/>
      <c r="GS214" s="26"/>
      <c r="GT214" s="35"/>
      <c r="GU214" s="25"/>
      <c r="GV214" s="26"/>
      <c r="GW214" s="26"/>
      <c r="GX214" s="35"/>
      <c r="GY214" s="25"/>
      <c r="GZ214" s="26"/>
      <c r="HA214" s="26"/>
      <c r="HB214" s="35"/>
      <c r="HC214" s="25"/>
      <c r="HD214" s="26"/>
      <c r="HE214" s="26"/>
      <c r="HF214" s="35"/>
      <c r="HG214" s="25"/>
      <c r="HH214" s="26"/>
      <c r="HI214" s="26"/>
      <c r="HJ214" s="35"/>
      <c r="HK214" s="25"/>
      <c r="HL214" s="26"/>
      <c r="HM214" s="26"/>
      <c r="HN214" s="35"/>
      <c r="HO214" s="25"/>
      <c r="HP214" s="26"/>
      <c r="HQ214" s="26"/>
      <c r="HR214" s="35"/>
      <c r="HS214" s="25"/>
      <c r="HT214" s="26"/>
      <c r="HU214" s="26"/>
      <c r="HV214" s="35"/>
      <c r="HW214" s="25"/>
      <c r="HX214" s="26"/>
      <c r="HY214" s="26"/>
      <c r="HZ214" s="35"/>
      <c r="IA214" s="25"/>
      <c r="IB214" s="26"/>
      <c r="IC214" s="26"/>
      <c r="ID214" s="35"/>
      <c r="IE214" s="25"/>
      <c r="IF214" s="26"/>
      <c r="IG214" s="26"/>
      <c r="IH214" s="35"/>
      <c r="II214" s="25"/>
      <c r="IJ214" s="26"/>
      <c r="IK214" s="26"/>
      <c r="IL214" s="35"/>
      <c r="IM214" s="25"/>
      <c r="IN214" s="26"/>
      <c r="IO214" s="26"/>
      <c r="IP214" s="35"/>
      <c r="IQ214" s="25"/>
      <c r="IR214" s="26"/>
      <c r="IS214" s="26"/>
      <c r="IT214" s="35"/>
      <c r="IU214" s="25"/>
      <c r="IV214" s="26"/>
    </row>
    <row r="215" spans="2:256" ht="30" customHeight="1" x14ac:dyDescent="0.25">
      <c r="B215" s="14">
        <v>3494</v>
      </c>
      <c r="C215" s="102">
        <v>413200.29</v>
      </c>
      <c r="D215" s="103" t="s">
        <v>330</v>
      </c>
      <c r="E215" s="104">
        <v>5000</v>
      </c>
      <c r="F215" s="105"/>
      <c r="G215" s="126">
        <v>6921</v>
      </c>
      <c r="H215" s="104">
        <v>5000</v>
      </c>
      <c r="I215" s="104">
        <f t="shared" si="75"/>
        <v>1.3333333333333333</v>
      </c>
      <c r="J215" s="176"/>
      <c r="K215" s="107">
        <v>5000</v>
      </c>
      <c r="L215" s="108">
        <v>1000</v>
      </c>
      <c r="M215" s="107">
        <v>0</v>
      </c>
      <c r="N215" s="108"/>
      <c r="O215" s="109">
        <f>M215*4/3</f>
        <v>0</v>
      </c>
      <c r="P215" s="109">
        <v>0</v>
      </c>
      <c r="Q215" s="109">
        <v>0</v>
      </c>
      <c r="R215" s="107">
        <v>5000</v>
      </c>
      <c r="S215" s="107">
        <f>Q215+P215</f>
        <v>0</v>
      </c>
      <c r="T215" s="107">
        <f>Q215+P215</f>
        <v>0</v>
      </c>
      <c r="U215" s="107">
        <f>S215</f>
        <v>0</v>
      </c>
      <c r="V215" s="107">
        <v>0</v>
      </c>
      <c r="W215" s="107">
        <f>V215*2</f>
        <v>0</v>
      </c>
      <c r="X215" s="110">
        <f>U215</f>
        <v>0</v>
      </c>
      <c r="Y215" s="107">
        <v>37845</v>
      </c>
      <c r="Z215" s="107">
        <f>Y215*12/10</f>
        <v>45414</v>
      </c>
      <c r="AA215" s="110">
        <v>40000</v>
      </c>
      <c r="AB215" s="110">
        <v>10196</v>
      </c>
      <c r="AC215" s="110">
        <v>12000</v>
      </c>
      <c r="AD215" s="108">
        <f>AC215</f>
        <v>12000</v>
      </c>
      <c r="AE215" s="107">
        <v>4000</v>
      </c>
      <c r="AF215" s="107">
        <v>4000</v>
      </c>
      <c r="AG215" s="26"/>
      <c r="AH215" s="26"/>
      <c r="AI215" s="35"/>
      <c r="AJ215" s="25"/>
      <c r="AK215" s="26"/>
      <c r="AL215" s="26"/>
      <c r="AM215" s="35"/>
      <c r="AN215" s="25"/>
      <c r="AO215" s="26"/>
      <c r="AP215" s="35"/>
      <c r="AQ215" s="25"/>
      <c r="AR215" s="26"/>
      <c r="AS215" s="26"/>
      <c r="AT215" s="35"/>
      <c r="AU215" s="25"/>
      <c r="AV215" s="26"/>
      <c r="AW215" s="35"/>
      <c r="AX215" s="26"/>
      <c r="AY215" s="26"/>
      <c r="AZ215" s="35"/>
      <c r="BA215" s="26"/>
      <c r="BB215" s="35"/>
      <c r="BC215" s="25"/>
      <c r="BD215" s="26"/>
      <c r="BE215" s="26"/>
      <c r="BF215" s="35"/>
      <c r="BG215" s="25"/>
      <c r="BH215" s="26"/>
      <c r="BI215" s="26"/>
      <c r="BJ215" s="35"/>
      <c r="BK215" s="25"/>
      <c r="BL215" s="26"/>
      <c r="BM215" s="26"/>
      <c r="BN215" s="35"/>
      <c r="BO215" s="25"/>
      <c r="BP215" s="26"/>
      <c r="BQ215" s="26"/>
      <c r="BR215" s="35"/>
      <c r="BS215" s="25"/>
      <c r="BT215" s="26"/>
      <c r="BU215" s="26"/>
      <c r="BV215" s="35"/>
      <c r="BW215" s="25"/>
      <c r="BX215" s="26"/>
      <c r="BY215" s="26"/>
      <c r="BZ215" s="35"/>
      <c r="CA215" s="25"/>
      <c r="CB215" s="26"/>
      <c r="CC215" s="26"/>
      <c r="CD215" s="35"/>
      <c r="CE215" s="25"/>
      <c r="CF215" s="26"/>
      <c r="CG215" s="26"/>
      <c r="CH215" s="35"/>
      <c r="CI215" s="25"/>
      <c r="CJ215" s="26"/>
      <c r="CK215" s="26"/>
      <c r="CL215" s="35"/>
      <c r="CM215" s="25"/>
      <c r="CN215" s="26"/>
      <c r="CO215" s="26"/>
      <c r="CP215" s="35"/>
      <c r="CQ215" s="25"/>
      <c r="CR215" s="26"/>
      <c r="CS215" s="26"/>
      <c r="CT215" s="35"/>
      <c r="CU215" s="25"/>
      <c r="CV215" s="26"/>
      <c r="CW215" s="26"/>
      <c r="CX215" s="35"/>
      <c r="CY215" s="25"/>
      <c r="CZ215" s="26"/>
      <c r="DA215" s="26"/>
      <c r="DB215" s="35"/>
      <c r="DC215" s="25"/>
      <c r="DD215" s="26"/>
      <c r="DE215" s="26"/>
      <c r="DF215" s="35"/>
      <c r="DG215" s="25"/>
      <c r="DH215" s="26"/>
      <c r="DI215" s="26"/>
      <c r="DJ215" s="35"/>
      <c r="DK215" s="25"/>
      <c r="DL215" s="26"/>
      <c r="DM215" s="26"/>
      <c r="DN215" s="35"/>
      <c r="DO215" s="25"/>
      <c r="DP215" s="26"/>
      <c r="DQ215" s="26"/>
      <c r="DR215" s="35"/>
      <c r="DS215" s="25"/>
      <c r="DT215" s="26"/>
      <c r="DU215" s="26"/>
      <c r="DV215" s="35"/>
      <c r="DW215" s="25"/>
      <c r="DX215" s="26"/>
      <c r="DY215" s="26"/>
      <c r="DZ215" s="35"/>
      <c r="EA215" s="25"/>
      <c r="EB215" s="26"/>
      <c r="EC215" s="26"/>
      <c r="ED215" s="35"/>
      <c r="EE215" s="25"/>
      <c r="EF215" s="26"/>
      <c r="EG215" s="26"/>
      <c r="EH215" s="35"/>
      <c r="EI215" s="25"/>
      <c r="EJ215" s="26"/>
      <c r="EK215" s="26"/>
      <c r="EL215" s="35"/>
      <c r="EM215" s="25"/>
      <c r="EN215" s="26"/>
      <c r="EO215" s="26"/>
      <c r="EP215" s="35"/>
      <c r="EQ215" s="25"/>
      <c r="ER215" s="26"/>
      <c r="ES215" s="26"/>
      <c r="ET215" s="35"/>
      <c r="EU215" s="25"/>
      <c r="EV215" s="26"/>
      <c r="EW215" s="26"/>
      <c r="EX215" s="35"/>
      <c r="EY215" s="25"/>
      <c r="EZ215" s="26"/>
      <c r="FA215" s="26"/>
      <c r="FB215" s="35"/>
      <c r="FC215" s="25"/>
      <c r="FD215" s="26"/>
      <c r="FE215" s="26"/>
      <c r="FF215" s="35"/>
      <c r="FG215" s="25"/>
      <c r="FH215" s="26"/>
      <c r="FI215" s="26"/>
      <c r="FJ215" s="35"/>
      <c r="FK215" s="25"/>
      <c r="FL215" s="26"/>
      <c r="FM215" s="26"/>
      <c r="FN215" s="35"/>
      <c r="FO215" s="25"/>
      <c r="FP215" s="26"/>
      <c r="FQ215" s="26"/>
      <c r="FR215" s="35"/>
      <c r="FS215" s="25"/>
      <c r="FT215" s="26"/>
      <c r="FU215" s="26"/>
      <c r="FV215" s="35"/>
      <c r="FW215" s="25"/>
      <c r="FX215" s="26"/>
      <c r="FY215" s="26"/>
      <c r="FZ215" s="35"/>
      <c r="GA215" s="25"/>
      <c r="GB215" s="26"/>
      <c r="GC215" s="26"/>
      <c r="GD215" s="35"/>
      <c r="GE215" s="25"/>
      <c r="GF215" s="26"/>
      <c r="GG215" s="26"/>
      <c r="GH215" s="35"/>
      <c r="GI215" s="25"/>
      <c r="GJ215" s="26"/>
      <c r="GK215" s="26"/>
      <c r="GL215" s="35"/>
      <c r="GM215" s="25"/>
      <c r="GN215" s="26"/>
      <c r="GO215" s="26"/>
      <c r="GP215" s="35"/>
      <c r="GQ215" s="25"/>
      <c r="GR215" s="26"/>
      <c r="GS215" s="26"/>
      <c r="GT215" s="35"/>
      <c r="GU215" s="25"/>
      <c r="GV215" s="26"/>
      <c r="GW215" s="26"/>
      <c r="GX215" s="35"/>
      <c r="GY215" s="25"/>
      <c r="GZ215" s="26"/>
      <c r="HA215" s="26"/>
      <c r="HB215" s="35"/>
      <c r="HC215" s="25"/>
      <c r="HD215" s="26"/>
      <c r="HE215" s="26"/>
      <c r="HF215" s="35"/>
      <c r="HG215" s="25"/>
      <c r="HH215" s="26"/>
      <c r="HI215" s="26"/>
      <c r="HJ215" s="35"/>
      <c r="HK215" s="25"/>
      <c r="HL215" s="26"/>
      <c r="HM215" s="26"/>
      <c r="HN215" s="35"/>
      <c r="HO215" s="25"/>
      <c r="HP215" s="26"/>
      <c r="HQ215" s="26"/>
      <c r="HR215" s="35"/>
      <c r="HS215" s="25"/>
      <c r="HT215" s="26"/>
      <c r="HU215" s="26"/>
      <c r="HV215" s="35"/>
      <c r="HW215" s="25"/>
      <c r="HX215" s="26"/>
      <c r="HY215" s="26"/>
      <c r="HZ215" s="35"/>
      <c r="IA215" s="25"/>
      <c r="IB215" s="26"/>
      <c r="IC215" s="26"/>
      <c r="ID215" s="35"/>
      <c r="IE215" s="25"/>
      <c r="IF215" s="26"/>
      <c r="IG215" s="26"/>
      <c r="IH215" s="35"/>
      <c r="II215" s="25"/>
      <c r="IJ215" s="26"/>
      <c r="IK215" s="26"/>
      <c r="IL215" s="35"/>
      <c r="IM215" s="25"/>
      <c r="IN215" s="26"/>
      <c r="IO215" s="26"/>
      <c r="IP215" s="35"/>
      <c r="IQ215" s="25"/>
      <c r="IR215" s="26"/>
      <c r="IS215" s="26"/>
      <c r="IT215" s="35"/>
      <c r="IU215" s="25"/>
      <c r="IV215" s="26"/>
    </row>
    <row r="216" spans="2:256" ht="30" customHeight="1" x14ac:dyDescent="0.25">
      <c r="B216" s="14"/>
      <c r="C216" s="102">
        <v>413200.8</v>
      </c>
      <c r="D216" s="103" t="s">
        <v>396</v>
      </c>
      <c r="E216" s="126">
        <v>1600000</v>
      </c>
      <c r="F216" s="105"/>
      <c r="G216" s="126">
        <v>1607251</v>
      </c>
      <c r="H216" s="126">
        <v>500000</v>
      </c>
      <c r="I216" s="104"/>
      <c r="J216" s="176"/>
      <c r="K216" s="148">
        <v>400000</v>
      </c>
      <c r="L216" s="108">
        <v>473000</v>
      </c>
      <c r="M216" s="107">
        <v>164053</v>
      </c>
      <c r="N216" s="108"/>
      <c r="O216" s="109">
        <v>250000</v>
      </c>
      <c r="P216" s="109">
        <v>0</v>
      </c>
      <c r="Q216" s="109">
        <v>200000</v>
      </c>
      <c r="R216" s="148">
        <v>200000</v>
      </c>
      <c r="S216" s="107">
        <v>110000</v>
      </c>
      <c r="T216" s="107">
        <f>Q216+P216</f>
        <v>200000</v>
      </c>
      <c r="U216" s="107">
        <f>S216</f>
        <v>110000</v>
      </c>
      <c r="V216" s="107">
        <v>63746</v>
      </c>
      <c r="W216" s="107">
        <f>V216*2</f>
        <v>127492</v>
      </c>
      <c r="X216" s="110">
        <v>130000</v>
      </c>
      <c r="Y216" s="107">
        <v>56240</v>
      </c>
      <c r="Z216" s="107">
        <f>Y216*12/10</f>
        <v>67488</v>
      </c>
      <c r="AA216" s="110">
        <v>90000</v>
      </c>
      <c r="AB216" s="110">
        <v>59625</v>
      </c>
      <c r="AC216" s="110">
        <v>70000</v>
      </c>
      <c r="AD216" s="108">
        <v>60000</v>
      </c>
      <c r="AE216" s="107">
        <v>32000</v>
      </c>
      <c r="AF216" s="107"/>
      <c r="AG216" s="26"/>
      <c r="AH216" s="26"/>
      <c r="AI216" s="35"/>
      <c r="AJ216" s="25"/>
      <c r="AK216" s="26"/>
      <c r="AL216" s="26"/>
      <c r="AM216" s="35"/>
      <c r="AN216" s="25"/>
      <c r="AO216" s="26"/>
      <c r="AP216" s="35"/>
      <c r="AQ216" s="25"/>
      <c r="AR216" s="26"/>
      <c r="AS216" s="26"/>
      <c r="AT216" s="35"/>
      <c r="AU216" s="25"/>
      <c r="AV216" s="26"/>
      <c r="AW216" s="35"/>
      <c r="AX216" s="26"/>
      <c r="AY216" s="26"/>
      <c r="AZ216" s="35"/>
      <c r="BA216" s="26"/>
      <c r="BB216" s="35"/>
      <c r="BC216" s="25"/>
      <c r="BD216" s="26"/>
      <c r="BE216" s="26"/>
      <c r="BF216" s="35"/>
      <c r="BG216" s="25"/>
      <c r="BH216" s="26"/>
      <c r="BI216" s="26"/>
      <c r="BJ216" s="35"/>
      <c r="BK216" s="25"/>
      <c r="BL216" s="26"/>
      <c r="BM216" s="26"/>
      <c r="BN216" s="35"/>
      <c r="BO216" s="25"/>
      <c r="BP216" s="26"/>
      <c r="BQ216" s="26"/>
      <c r="BR216" s="35"/>
      <c r="BS216" s="25"/>
      <c r="BT216" s="26"/>
      <c r="BU216" s="26"/>
      <c r="BV216" s="35"/>
      <c r="BW216" s="25"/>
      <c r="BX216" s="26"/>
      <c r="BY216" s="26"/>
      <c r="BZ216" s="35"/>
      <c r="CA216" s="25"/>
      <c r="CB216" s="26"/>
      <c r="CC216" s="26"/>
      <c r="CD216" s="35"/>
      <c r="CE216" s="25"/>
      <c r="CF216" s="26"/>
      <c r="CG216" s="26"/>
      <c r="CH216" s="35"/>
      <c r="CI216" s="25"/>
      <c r="CJ216" s="26"/>
      <c r="CK216" s="26"/>
      <c r="CL216" s="35"/>
      <c r="CM216" s="25"/>
      <c r="CN216" s="26"/>
      <c r="CO216" s="26"/>
      <c r="CP216" s="35"/>
      <c r="CQ216" s="25"/>
      <c r="CR216" s="26"/>
      <c r="CS216" s="26"/>
      <c r="CT216" s="35"/>
      <c r="CU216" s="25"/>
      <c r="CV216" s="26"/>
      <c r="CW216" s="26"/>
      <c r="CX216" s="35"/>
      <c r="CY216" s="25"/>
      <c r="CZ216" s="26"/>
      <c r="DA216" s="26"/>
      <c r="DB216" s="35"/>
      <c r="DC216" s="25"/>
      <c r="DD216" s="26"/>
      <c r="DE216" s="26"/>
      <c r="DF216" s="35"/>
      <c r="DG216" s="25"/>
      <c r="DH216" s="26"/>
      <c r="DI216" s="26"/>
      <c r="DJ216" s="35"/>
      <c r="DK216" s="25"/>
      <c r="DL216" s="26"/>
      <c r="DM216" s="26"/>
      <c r="DN216" s="35"/>
      <c r="DO216" s="25"/>
      <c r="DP216" s="26"/>
      <c r="DQ216" s="26"/>
      <c r="DR216" s="35"/>
      <c r="DS216" s="25"/>
      <c r="DT216" s="26"/>
      <c r="DU216" s="26"/>
      <c r="DV216" s="35"/>
      <c r="DW216" s="25"/>
      <c r="DX216" s="26"/>
      <c r="DY216" s="26"/>
      <c r="DZ216" s="35"/>
      <c r="EA216" s="25"/>
      <c r="EB216" s="26"/>
      <c r="EC216" s="26"/>
      <c r="ED216" s="35"/>
      <c r="EE216" s="25"/>
      <c r="EF216" s="26"/>
      <c r="EG216" s="26"/>
      <c r="EH216" s="35"/>
      <c r="EI216" s="25"/>
      <c r="EJ216" s="26"/>
      <c r="EK216" s="26"/>
      <c r="EL216" s="35"/>
      <c r="EM216" s="25"/>
      <c r="EN216" s="26"/>
      <c r="EO216" s="26"/>
      <c r="EP216" s="35"/>
      <c r="EQ216" s="25"/>
      <c r="ER216" s="26"/>
      <c r="ES216" s="26"/>
      <c r="ET216" s="35"/>
      <c r="EU216" s="25"/>
      <c r="EV216" s="26"/>
      <c r="EW216" s="26"/>
      <c r="EX216" s="35"/>
      <c r="EY216" s="25"/>
      <c r="EZ216" s="26"/>
      <c r="FA216" s="26"/>
      <c r="FB216" s="35"/>
      <c r="FC216" s="25"/>
      <c r="FD216" s="26"/>
      <c r="FE216" s="26"/>
      <c r="FF216" s="35"/>
      <c r="FG216" s="25"/>
      <c r="FH216" s="26"/>
      <c r="FI216" s="26"/>
      <c r="FJ216" s="35"/>
      <c r="FK216" s="25"/>
      <c r="FL216" s="26"/>
      <c r="FM216" s="26"/>
      <c r="FN216" s="35"/>
      <c r="FO216" s="25"/>
      <c r="FP216" s="26"/>
      <c r="FQ216" s="26"/>
      <c r="FR216" s="35"/>
      <c r="FS216" s="25"/>
      <c r="FT216" s="26"/>
      <c r="FU216" s="26"/>
      <c r="FV216" s="35"/>
      <c r="FW216" s="25"/>
      <c r="FX216" s="26"/>
      <c r="FY216" s="26"/>
      <c r="FZ216" s="35"/>
      <c r="GA216" s="25"/>
      <c r="GB216" s="26"/>
      <c r="GC216" s="26"/>
      <c r="GD216" s="35"/>
      <c r="GE216" s="25"/>
      <c r="GF216" s="26"/>
      <c r="GG216" s="26"/>
      <c r="GH216" s="35"/>
      <c r="GI216" s="25"/>
      <c r="GJ216" s="26"/>
      <c r="GK216" s="26"/>
      <c r="GL216" s="35"/>
      <c r="GM216" s="25"/>
      <c r="GN216" s="26"/>
      <c r="GO216" s="26"/>
      <c r="GP216" s="35"/>
      <c r="GQ216" s="25"/>
      <c r="GR216" s="26"/>
      <c r="GS216" s="26"/>
      <c r="GT216" s="35"/>
      <c r="GU216" s="25"/>
      <c r="GV216" s="26"/>
      <c r="GW216" s="26"/>
      <c r="GX216" s="35"/>
      <c r="GY216" s="25"/>
      <c r="GZ216" s="26"/>
      <c r="HA216" s="26"/>
      <c r="HB216" s="35"/>
      <c r="HC216" s="25"/>
      <c r="HD216" s="26"/>
      <c r="HE216" s="26"/>
      <c r="HF216" s="35"/>
      <c r="HG216" s="25"/>
      <c r="HH216" s="26"/>
      <c r="HI216" s="26"/>
      <c r="HJ216" s="35"/>
      <c r="HK216" s="25"/>
      <c r="HL216" s="26"/>
      <c r="HM216" s="26"/>
      <c r="HN216" s="35"/>
      <c r="HO216" s="25"/>
      <c r="HP216" s="26"/>
      <c r="HQ216" s="26"/>
      <c r="HR216" s="35"/>
      <c r="HS216" s="25"/>
      <c r="HT216" s="26"/>
      <c r="HU216" s="26"/>
      <c r="HV216" s="35"/>
      <c r="HW216" s="25"/>
      <c r="HX216" s="26"/>
      <c r="HY216" s="26"/>
      <c r="HZ216" s="35"/>
      <c r="IA216" s="25"/>
      <c r="IB216" s="26"/>
      <c r="IC216" s="26"/>
      <c r="ID216" s="35"/>
      <c r="IE216" s="25"/>
      <c r="IF216" s="26"/>
      <c r="IG216" s="26"/>
      <c r="IH216" s="35"/>
      <c r="II216" s="25"/>
      <c r="IJ216" s="26"/>
      <c r="IK216" s="26"/>
      <c r="IL216" s="35"/>
      <c r="IM216" s="25"/>
      <c r="IN216" s="26"/>
      <c r="IO216" s="26"/>
      <c r="IP216" s="35"/>
      <c r="IQ216" s="25"/>
      <c r="IR216" s="26"/>
      <c r="IS216" s="26"/>
      <c r="IT216" s="35"/>
      <c r="IU216" s="25"/>
      <c r="IV216" s="26"/>
    </row>
    <row r="217" spans="2:256" ht="30" customHeight="1" x14ac:dyDescent="0.25">
      <c r="B217" s="14"/>
      <c r="C217" s="102">
        <v>413200.85</v>
      </c>
      <c r="D217" s="103" t="s">
        <v>404</v>
      </c>
      <c r="E217" s="126">
        <v>0</v>
      </c>
      <c r="F217" s="105"/>
      <c r="G217" s="126">
        <v>0</v>
      </c>
      <c r="H217" s="126">
        <v>1200000</v>
      </c>
      <c r="I217" s="104"/>
      <c r="J217" s="176"/>
      <c r="K217" s="148">
        <v>100000</v>
      </c>
      <c r="L217" s="108">
        <v>200000</v>
      </c>
      <c r="M217" s="107">
        <v>71498</v>
      </c>
      <c r="N217" s="108"/>
      <c r="O217" s="109">
        <v>100000</v>
      </c>
      <c r="P217" s="109">
        <v>0</v>
      </c>
      <c r="Q217" s="109">
        <v>0</v>
      </c>
      <c r="R217" s="148">
        <v>100000</v>
      </c>
      <c r="S217" s="107">
        <v>120000</v>
      </c>
      <c r="T217" s="107">
        <f>Q217+P217</f>
        <v>0</v>
      </c>
      <c r="U217" s="107">
        <f>S217</f>
        <v>120000</v>
      </c>
      <c r="V217" s="107">
        <v>60000</v>
      </c>
      <c r="W217" s="107">
        <f>V217*2</f>
        <v>120000</v>
      </c>
      <c r="X217" s="110">
        <f>U217</f>
        <v>120000</v>
      </c>
      <c r="Y217" s="107">
        <v>105242</v>
      </c>
      <c r="Z217" s="107">
        <f>Y217*12/10</f>
        <v>126290.4</v>
      </c>
      <c r="AA217" s="110">
        <v>135250</v>
      </c>
      <c r="AB217" s="110">
        <v>113074</v>
      </c>
      <c r="AC217" s="110">
        <v>136000</v>
      </c>
      <c r="AD217" s="108">
        <f>AC217</f>
        <v>136000</v>
      </c>
      <c r="AE217" s="107">
        <v>136000</v>
      </c>
      <c r="AF217" s="108">
        <v>136000</v>
      </c>
      <c r="AG217" s="26"/>
      <c r="AH217" s="26"/>
      <c r="AI217" s="35"/>
      <c r="AJ217" s="25"/>
      <c r="AK217" s="26"/>
      <c r="AL217" s="26"/>
      <c r="AM217" s="35"/>
      <c r="AN217" s="25"/>
      <c r="AO217" s="26"/>
      <c r="AP217" s="35"/>
      <c r="AQ217" s="25"/>
      <c r="AR217" s="26"/>
      <c r="AS217" s="26"/>
      <c r="AT217" s="35"/>
      <c r="AU217" s="25"/>
      <c r="AV217" s="26"/>
      <c r="AW217" s="35"/>
      <c r="AX217" s="26"/>
      <c r="AY217" s="26"/>
      <c r="AZ217" s="35"/>
      <c r="BA217" s="26"/>
      <c r="BB217" s="35"/>
      <c r="BC217" s="25"/>
      <c r="BD217" s="26"/>
      <c r="BE217" s="26"/>
      <c r="BF217" s="35"/>
      <c r="BG217" s="25"/>
      <c r="BH217" s="26"/>
      <c r="BI217" s="26"/>
      <c r="BJ217" s="35"/>
      <c r="BK217" s="25"/>
      <c r="BL217" s="26"/>
      <c r="BM217" s="26"/>
      <c r="BN217" s="35"/>
      <c r="BO217" s="25"/>
      <c r="BP217" s="26"/>
      <c r="BQ217" s="26"/>
      <c r="BR217" s="35"/>
      <c r="BS217" s="25"/>
      <c r="BT217" s="26"/>
      <c r="BU217" s="26"/>
      <c r="BV217" s="35"/>
      <c r="BW217" s="25"/>
      <c r="BX217" s="26"/>
      <c r="BY217" s="26"/>
      <c r="BZ217" s="35"/>
      <c r="CA217" s="25"/>
      <c r="CB217" s="26"/>
      <c r="CC217" s="26"/>
      <c r="CD217" s="35"/>
      <c r="CE217" s="25"/>
      <c r="CF217" s="26"/>
      <c r="CG217" s="26"/>
      <c r="CH217" s="35"/>
      <c r="CI217" s="25"/>
      <c r="CJ217" s="26"/>
      <c r="CK217" s="26"/>
      <c r="CL217" s="35"/>
      <c r="CM217" s="25"/>
      <c r="CN217" s="26"/>
      <c r="CO217" s="26"/>
      <c r="CP217" s="35"/>
      <c r="CQ217" s="25"/>
      <c r="CR217" s="26"/>
      <c r="CS217" s="26"/>
      <c r="CT217" s="35"/>
      <c r="CU217" s="25"/>
      <c r="CV217" s="26"/>
      <c r="CW217" s="26"/>
      <c r="CX217" s="35"/>
      <c r="CY217" s="25"/>
      <c r="CZ217" s="26"/>
      <c r="DA217" s="26"/>
      <c r="DB217" s="35"/>
      <c r="DC217" s="25"/>
      <c r="DD217" s="26"/>
      <c r="DE217" s="26"/>
      <c r="DF217" s="35"/>
      <c r="DG217" s="25"/>
      <c r="DH217" s="26"/>
      <c r="DI217" s="26"/>
      <c r="DJ217" s="35"/>
      <c r="DK217" s="25"/>
      <c r="DL217" s="26"/>
      <c r="DM217" s="26"/>
      <c r="DN217" s="35"/>
      <c r="DO217" s="25"/>
      <c r="DP217" s="26"/>
      <c r="DQ217" s="26"/>
      <c r="DR217" s="35"/>
      <c r="DS217" s="25"/>
      <c r="DT217" s="26"/>
      <c r="DU217" s="26"/>
      <c r="DV217" s="35"/>
      <c r="DW217" s="25"/>
      <c r="DX217" s="26"/>
      <c r="DY217" s="26"/>
      <c r="DZ217" s="35"/>
      <c r="EA217" s="25"/>
      <c r="EB217" s="26"/>
      <c r="EC217" s="26"/>
      <c r="ED217" s="35"/>
      <c r="EE217" s="25"/>
      <c r="EF217" s="26"/>
      <c r="EG217" s="26"/>
      <c r="EH217" s="35"/>
      <c r="EI217" s="25"/>
      <c r="EJ217" s="26"/>
      <c r="EK217" s="26"/>
      <c r="EL217" s="35"/>
      <c r="EM217" s="25"/>
      <c r="EN217" s="26"/>
      <c r="EO217" s="26"/>
      <c r="EP217" s="35"/>
      <c r="EQ217" s="25"/>
      <c r="ER217" s="26"/>
      <c r="ES217" s="26"/>
      <c r="ET217" s="35"/>
      <c r="EU217" s="25"/>
      <c r="EV217" s="26"/>
      <c r="EW217" s="26"/>
      <c r="EX217" s="35"/>
      <c r="EY217" s="25"/>
      <c r="EZ217" s="26"/>
      <c r="FA217" s="26"/>
      <c r="FB217" s="35"/>
      <c r="FC217" s="25"/>
      <c r="FD217" s="26"/>
      <c r="FE217" s="26"/>
      <c r="FF217" s="35"/>
      <c r="FG217" s="25"/>
      <c r="FH217" s="26"/>
      <c r="FI217" s="26"/>
      <c r="FJ217" s="35"/>
      <c r="FK217" s="25"/>
      <c r="FL217" s="26"/>
      <c r="FM217" s="26"/>
      <c r="FN217" s="35"/>
      <c r="FO217" s="25"/>
      <c r="FP217" s="26"/>
      <c r="FQ217" s="26"/>
      <c r="FR217" s="35"/>
      <c r="FS217" s="25"/>
      <c r="FT217" s="26"/>
      <c r="FU217" s="26"/>
      <c r="FV217" s="35"/>
      <c r="FW217" s="25"/>
      <c r="FX217" s="26"/>
      <c r="FY217" s="26"/>
      <c r="FZ217" s="35"/>
      <c r="GA217" s="25"/>
      <c r="GB217" s="26"/>
      <c r="GC217" s="26"/>
      <c r="GD217" s="35"/>
      <c r="GE217" s="25"/>
      <c r="GF217" s="26"/>
      <c r="GG217" s="26"/>
      <c r="GH217" s="35"/>
      <c r="GI217" s="25"/>
      <c r="GJ217" s="26"/>
      <c r="GK217" s="26"/>
      <c r="GL217" s="35"/>
      <c r="GM217" s="25"/>
      <c r="GN217" s="26"/>
      <c r="GO217" s="26"/>
      <c r="GP217" s="35"/>
      <c r="GQ217" s="25"/>
      <c r="GR217" s="26"/>
      <c r="GS217" s="26"/>
      <c r="GT217" s="35"/>
      <c r="GU217" s="25"/>
      <c r="GV217" s="26"/>
      <c r="GW217" s="26"/>
      <c r="GX217" s="35"/>
      <c r="GY217" s="25"/>
      <c r="GZ217" s="26"/>
      <c r="HA217" s="26"/>
      <c r="HB217" s="35"/>
      <c r="HC217" s="25"/>
      <c r="HD217" s="26"/>
      <c r="HE217" s="26"/>
      <c r="HF217" s="35"/>
      <c r="HG217" s="25"/>
      <c r="HH217" s="26"/>
      <c r="HI217" s="26"/>
      <c r="HJ217" s="35"/>
      <c r="HK217" s="25"/>
      <c r="HL217" s="26"/>
      <c r="HM217" s="26"/>
      <c r="HN217" s="35"/>
      <c r="HO217" s="25"/>
      <c r="HP217" s="26"/>
      <c r="HQ217" s="26"/>
      <c r="HR217" s="35"/>
      <c r="HS217" s="25"/>
      <c r="HT217" s="26"/>
      <c r="HU217" s="26"/>
      <c r="HV217" s="35"/>
      <c r="HW217" s="25"/>
      <c r="HX217" s="26"/>
      <c r="HY217" s="26"/>
      <c r="HZ217" s="35"/>
      <c r="IA217" s="25"/>
      <c r="IB217" s="26"/>
      <c r="IC217" s="26"/>
      <c r="ID217" s="35"/>
      <c r="IE217" s="25"/>
      <c r="IF217" s="26"/>
      <c r="IG217" s="26"/>
      <c r="IH217" s="35"/>
      <c r="II217" s="25"/>
      <c r="IJ217" s="26"/>
      <c r="IK217" s="26"/>
      <c r="IL217" s="35"/>
      <c r="IM217" s="25"/>
      <c r="IN217" s="26"/>
      <c r="IO217" s="26"/>
      <c r="IP217" s="35"/>
      <c r="IQ217" s="25"/>
      <c r="IR217" s="26"/>
      <c r="IS217" s="26"/>
      <c r="IT217" s="35"/>
      <c r="IU217" s="25"/>
      <c r="IV217" s="26"/>
    </row>
    <row r="218" spans="2:256" ht="30" customHeight="1" x14ac:dyDescent="0.25">
      <c r="B218" s="14"/>
      <c r="C218" s="113" t="s">
        <v>331</v>
      </c>
      <c r="D218" s="139"/>
      <c r="E218" s="115">
        <f>SUM(E214:E217)</f>
        <v>1805000</v>
      </c>
      <c r="F218" s="115">
        <f>SUM(F214:F216)</f>
        <v>0</v>
      </c>
      <c r="G218" s="115">
        <f>SUM(G214:G217)</f>
        <v>1764172</v>
      </c>
      <c r="H218" s="115">
        <f>SUM(H214:H217)</f>
        <v>1790000</v>
      </c>
      <c r="I218" s="104">
        <f t="shared" si="75"/>
        <v>1.3333333333333333</v>
      </c>
      <c r="J218" s="176"/>
      <c r="K218" s="117">
        <f t="shared" ref="K218:U218" si="80">SUM(K214:K217)</f>
        <v>510000</v>
      </c>
      <c r="L218" s="117">
        <f t="shared" si="80"/>
        <v>679000</v>
      </c>
      <c r="M218" s="117">
        <f t="shared" si="80"/>
        <v>235551</v>
      </c>
      <c r="N218" s="117">
        <f t="shared" si="80"/>
        <v>0</v>
      </c>
      <c r="O218" s="118">
        <f t="shared" si="80"/>
        <v>350000</v>
      </c>
      <c r="P218" s="118">
        <f t="shared" si="80"/>
        <v>91543</v>
      </c>
      <c r="Q218" s="118">
        <f t="shared" si="80"/>
        <v>245771.5</v>
      </c>
      <c r="R218" s="117">
        <f t="shared" si="80"/>
        <v>310000</v>
      </c>
      <c r="S218" s="117">
        <f t="shared" si="80"/>
        <v>230000</v>
      </c>
      <c r="T218" s="117">
        <f>SUM(T214:T217)</f>
        <v>337314.5</v>
      </c>
      <c r="U218" s="117">
        <f t="shared" si="80"/>
        <v>230000</v>
      </c>
      <c r="V218" s="117">
        <f t="shared" ref="V218:AA218" si="81">SUM(V214:V217)</f>
        <v>123746</v>
      </c>
      <c r="W218" s="117">
        <f t="shared" si="81"/>
        <v>247492</v>
      </c>
      <c r="X218" s="117">
        <f t="shared" si="81"/>
        <v>250000</v>
      </c>
      <c r="Y218" s="117">
        <f t="shared" si="81"/>
        <v>199327</v>
      </c>
      <c r="Z218" s="117">
        <f t="shared" si="81"/>
        <v>239192.4</v>
      </c>
      <c r="AA218" s="117">
        <f t="shared" si="81"/>
        <v>265250</v>
      </c>
      <c r="AB218" s="117">
        <f>SUM(AB214:AB217)</f>
        <v>182895</v>
      </c>
      <c r="AC218" s="117">
        <f>SUM(AC214:AC217)</f>
        <v>218000</v>
      </c>
      <c r="AD218" s="117">
        <f>SUM(AD214:AD217)</f>
        <v>208000</v>
      </c>
      <c r="AE218" s="117">
        <f>SUM(AE214:AE217)</f>
        <v>172000</v>
      </c>
      <c r="AF218" s="117">
        <f>SUM(AF214:AF217)</f>
        <v>140000</v>
      </c>
      <c r="AG218" s="26"/>
      <c r="AH218" s="26"/>
      <c r="AI218" s="35"/>
      <c r="AJ218" s="25"/>
      <c r="AK218" s="26"/>
      <c r="AL218" s="26"/>
      <c r="AM218" s="35"/>
      <c r="AN218" s="25"/>
      <c r="AO218" s="26"/>
      <c r="AP218" s="35"/>
      <c r="AQ218" s="25"/>
      <c r="AR218" s="26"/>
      <c r="AS218" s="26"/>
      <c r="AT218" s="35"/>
      <c r="AU218" s="25"/>
      <c r="AV218" s="26"/>
      <c r="AW218" s="35"/>
      <c r="AX218" s="26"/>
      <c r="AY218" s="26"/>
      <c r="AZ218" s="35"/>
      <c r="BA218" s="26"/>
      <c r="BB218" s="35"/>
      <c r="BC218" s="25"/>
      <c r="BD218" s="26"/>
      <c r="BE218" s="26"/>
      <c r="BF218" s="35"/>
      <c r="BG218" s="25"/>
      <c r="BH218" s="26"/>
      <c r="BI218" s="26"/>
      <c r="BJ218" s="35"/>
      <c r="BK218" s="25"/>
      <c r="BL218" s="26"/>
      <c r="BM218" s="26"/>
      <c r="BN218" s="35"/>
      <c r="BO218" s="25"/>
      <c r="BP218" s="26"/>
      <c r="BQ218" s="26"/>
      <c r="BR218" s="35"/>
      <c r="BS218" s="25"/>
      <c r="BT218" s="26"/>
      <c r="BU218" s="26"/>
      <c r="BV218" s="35"/>
      <c r="BW218" s="25"/>
      <c r="BX218" s="26"/>
      <c r="BY218" s="26"/>
      <c r="BZ218" s="35"/>
      <c r="CA218" s="25"/>
      <c r="CB218" s="26"/>
      <c r="CC218" s="26"/>
      <c r="CD218" s="35"/>
      <c r="CE218" s="25"/>
      <c r="CF218" s="26"/>
      <c r="CG218" s="26"/>
      <c r="CH218" s="35"/>
      <c r="CI218" s="25"/>
      <c r="CJ218" s="26"/>
      <c r="CK218" s="26"/>
      <c r="CL218" s="35"/>
      <c r="CM218" s="25"/>
      <c r="CN218" s="26"/>
      <c r="CO218" s="26"/>
      <c r="CP218" s="35"/>
      <c r="CQ218" s="25"/>
      <c r="CR218" s="26"/>
      <c r="CS218" s="26"/>
      <c r="CT218" s="35"/>
      <c r="CU218" s="25"/>
      <c r="CV218" s="26"/>
      <c r="CW218" s="26"/>
      <c r="CX218" s="35"/>
      <c r="CY218" s="25"/>
      <c r="CZ218" s="26"/>
      <c r="DA218" s="26"/>
      <c r="DB218" s="35"/>
      <c r="DC218" s="25"/>
      <c r="DD218" s="26"/>
      <c r="DE218" s="26"/>
      <c r="DF218" s="35"/>
      <c r="DG218" s="25"/>
      <c r="DH218" s="26"/>
      <c r="DI218" s="26"/>
      <c r="DJ218" s="35"/>
      <c r="DK218" s="25"/>
      <c r="DL218" s="26"/>
      <c r="DM218" s="26"/>
      <c r="DN218" s="35"/>
      <c r="DO218" s="25"/>
      <c r="DP218" s="26"/>
      <c r="DQ218" s="26"/>
      <c r="DR218" s="35"/>
      <c r="DS218" s="25"/>
      <c r="DT218" s="26"/>
      <c r="DU218" s="26"/>
      <c r="DV218" s="35"/>
      <c r="DW218" s="25"/>
      <c r="DX218" s="26"/>
      <c r="DY218" s="26"/>
      <c r="DZ218" s="35"/>
      <c r="EA218" s="25"/>
      <c r="EB218" s="26"/>
      <c r="EC218" s="26"/>
      <c r="ED218" s="35"/>
      <c r="EE218" s="25"/>
      <c r="EF218" s="26"/>
      <c r="EG218" s="26"/>
      <c r="EH218" s="35"/>
      <c r="EI218" s="25"/>
      <c r="EJ218" s="26"/>
      <c r="EK218" s="26"/>
      <c r="EL218" s="35"/>
      <c r="EM218" s="25"/>
      <c r="EN218" s="26"/>
      <c r="EO218" s="26"/>
      <c r="EP218" s="35"/>
      <c r="EQ218" s="25"/>
      <c r="ER218" s="26"/>
      <c r="ES218" s="26"/>
      <c r="ET218" s="35"/>
      <c r="EU218" s="25"/>
      <c r="EV218" s="26"/>
      <c r="EW218" s="26"/>
      <c r="EX218" s="35"/>
      <c r="EY218" s="25"/>
      <c r="EZ218" s="26"/>
      <c r="FA218" s="26"/>
      <c r="FB218" s="35"/>
      <c r="FC218" s="25"/>
      <c r="FD218" s="26"/>
      <c r="FE218" s="26"/>
      <c r="FF218" s="35"/>
      <c r="FG218" s="25"/>
      <c r="FH218" s="26"/>
      <c r="FI218" s="26"/>
      <c r="FJ218" s="35"/>
      <c r="FK218" s="25"/>
      <c r="FL218" s="26"/>
      <c r="FM218" s="26"/>
      <c r="FN218" s="35"/>
      <c r="FO218" s="25"/>
      <c r="FP218" s="26"/>
      <c r="FQ218" s="26"/>
      <c r="FR218" s="35"/>
      <c r="FS218" s="25"/>
      <c r="FT218" s="26"/>
      <c r="FU218" s="26"/>
      <c r="FV218" s="35"/>
      <c r="FW218" s="25"/>
      <c r="FX218" s="26"/>
      <c r="FY218" s="26"/>
      <c r="FZ218" s="35"/>
      <c r="GA218" s="25"/>
      <c r="GB218" s="26"/>
      <c r="GC218" s="26"/>
      <c r="GD218" s="35"/>
      <c r="GE218" s="25"/>
      <c r="GF218" s="26"/>
      <c r="GG218" s="26"/>
      <c r="GH218" s="35"/>
      <c r="GI218" s="25"/>
      <c r="GJ218" s="26"/>
      <c r="GK218" s="26"/>
      <c r="GL218" s="35"/>
      <c r="GM218" s="25"/>
      <c r="GN218" s="26"/>
      <c r="GO218" s="26"/>
      <c r="GP218" s="35"/>
      <c r="GQ218" s="25"/>
      <c r="GR218" s="26"/>
      <c r="GS218" s="26"/>
      <c r="GT218" s="35"/>
      <c r="GU218" s="25"/>
      <c r="GV218" s="26"/>
      <c r="GW218" s="26"/>
      <c r="GX218" s="35"/>
      <c r="GY218" s="25"/>
      <c r="GZ218" s="26"/>
      <c r="HA218" s="26"/>
      <c r="HB218" s="35"/>
      <c r="HC218" s="25"/>
      <c r="HD218" s="26"/>
      <c r="HE218" s="26"/>
      <c r="HF218" s="35"/>
      <c r="HG218" s="25"/>
      <c r="HH218" s="26"/>
      <c r="HI218" s="26"/>
      <c r="HJ218" s="35"/>
      <c r="HK218" s="25"/>
      <c r="HL218" s="26"/>
      <c r="HM218" s="26"/>
      <c r="HN218" s="35"/>
      <c r="HO218" s="25"/>
      <c r="HP218" s="26"/>
      <c r="HQ218" s="26"/>
      <c r="HR218" s="35"/>
      <c r="HS218" s="25"/>
      <c r="HT218" s="26"/>
      <c r="HU218" s="26"/>
      <c r="HV218" s="35"/>
      <c r="HW218" s="25"/>
      <c r="HX218" s="26"/>
      <c r="HY218" s="26"/>
      <c r="HZ218" s="35"/>
      <c r="IA218" s="25"/>
      <c r="IB218" s="26"/>
      <c r="IC218" s="26"/>
      <c r="ID218" s="35"/>
      <c r="IE218" s="25"/>
      <c r="IF218" s="26"/>
      <c r="IG218" s="26"/>
      <c r="IH218" s="35"/>
      <c r="II218" s="25"/>
      <c r="IJ218" s="26"/>
      <c r="IK218" s="26"/>
      <c r="IL218" s="35"/>
      <c r="IM218" s="25"/>
      <c r="IN218" s="26"/>
      <c r="IO218" s="26"/>
      <c r="IP218" s="35"/>
      <c r="IQ218" s="25"/>
      <c r="IR218" s="26"/>
      <c r="IS218" s="26"/>
      <c r="IT218" s="35"/>
      <c r="IU218" s="25"/>
      <c r="IV218" s="26"/>
    </row>
    <row r="219" spans="2:256" ht="30" customHeight="1" x14ac:dyDescent="0.25">
      <c r="B219" s="14"/>
      <c r="C219" s="113" t="s">
        <v>329</v>
      </c>
      <c r="D219" s="114" t="s">
        <v>332</v>
      </c>
      <c r="E219" s="115">
        <f>E218+E213</f>
        <v>6605000</v>
      </c>
      <c r="F219" s="115">
        <f>F218+F213</f>
        <v>0</v>
      </c>
      <c r="G219" s="115">
        <f>G218+G213</f>
        <v>6795422</v>
      </c>
      <c r="H219" s="115">
        <f>H218+H213</f>
        <v>5290000</v>
      </c>
      <c r="I219" s="104">
        <f t="shared" si="75"/>
        <v>1.3333333333333333</v>
      </c>
      <c r="J219" s="176"/>
      <c r="K219" s="117">
        <f t="shared" ref="K219:AD219" si="82">K218+K213</f>
        <v>3010000</v>
      </c>
      <c r="L219" s="117">
        <f t="shared" si="82"/>
        <v>3417000</v>
      </c>
      <c r="M219" s="117">
        <f t="shared" si="82"/>
        <v>1241624</v>
      </c>
      <c r="N219" s="117">
        <f t="shared" si="82"/>
        <v>0</v>
      </c>
      <c r="O219" s="118">
        <f t="shared" si="82"/>
        <v>1750000</v>
      </c>
      <c r="P219" s="118">
        <f t="shared" si="82"/>
        <v>565848</v>
      </c>
      <c r="Q219" s="118">
        <f t="shared" si="82"/>
        <v>482924</v>
      </c>
      <c r="R219" s="117">
        <f t="shared" si="82"/>
        <v>810000</v>
      </c>
      <c r="S219" s="117">
        <f t="shared" si="82"/>
        <v>830000</v>
      </c>
      <c r="T219" s="117">
        <f t="shared" si="82"/>
        <v>1048772</v>
      </c>
      <c r="U219" s="117">
        <f t="shared" si="82"/>
        <v>830000</v>
      </c>
      <c r="V219" s="117">
        <f t="shared" si="82"/>
        <v>374045</v>
      </c>
      <c r="W219" s="117">
        <f t="shared" si="82"/>
        <v>798090</v>
      </c>
      <c r="X219" s="117">
        <f t="shared" si="82"/>
        <v>800000</v>
      </c>
      <c r="Y219" s="117">
        <f t="shared" si="82"/>
        <v>523773</v>
      </c>
      <c r="Z219" s="117">
        <f t="shared" si="82"/>
        <v>628527.6</v>
      </c>
      <c r="AA219" s="117">
        <f t="shared" si="82"/>
        <v>665250</v>
      </c>
      <c r="AB219" s="117">
        <f t="shared" si="82"/>
        <v>410202</v>
      </c>
      <c r="AC219" s="117">
        <f t="shared" si="82"/>
        <v>488000</v>
      </c>
      <c r="AD219" s="117">
        <f t="shared" si="82"/>
        <v>458000</v>
      </c>
      <c r="AE219" s="117">
        <f>AE218+AE213</f>
        <v>372000</v>
      </c>
      <c r="AF219" s="117">
        <f>AF218+AF213</f>
        <v>340000</v>
      </c>
      <c r="AG219" s="26"/>
      <c r="AH219" s="26"/>
      <c r="AI219" s="35"/>
      <c r="AJ219" s="25"/>
      <c r="AK219" s="26"/>
      <c r="AL219" s="26"/>
      <c r="AM219" s="35"/>
      <c r="AN219" s="25"/>
      <c r="AO219" s="26"/>
      <c r="AP219" s="35"/>
      <c r="AQ219" s="25"/>
      <c r="AR219" s="26"/>
      <c r="AS219" s="26"/>
      <c r="AT219" s="35"/>
      <c r="AU219" s="25"/>
      <c r="AV219" s="26"/>
      <c r="AW219" s="35"/>
      <c r="AX219" s="26"/>
      <c r="AY219" s="26"/>
      <c r="AZ219" s="35"/>
      <c r="BA219" s="26"/>
      <c r="BB219" s="35"/>
      <c r="BC219" s="25"/>
      <c r="BD219" s="26"/>
      <c r="BE219" s="26"/>
      <c r="BF219" s="35"/>
      <c r="BG219" s="25"/>
      <c r="BH219" s="26"/>
      <c r="BI219" s="26"/>
      <c r="BJ219" s="35"/>
      <c r="BK219" s="25"/>
      <c r="BL219" s="26"/>
      <c r="BM219" s="26"/>
      <c r="BN219" s="35"/>
      <c r="BO219" s="25"/>
      <c r="BP219" s="26"/>
      <c r="BQ219" s="26"/>
      <c r="BR219" s="35"/>
      <c r="BS219" s="25"/>
      <c r="BT219" s="26"/>
      <c r="BU219" s="26"/>
      <c r="BV219" s="35"/>
      <c r="BW219" s="25"/>
      <c r="BX219" s="26"/>
      <c r="BY219" s="26"/>
      <c r="BZ219" s="35"/>
      <c r="CA219" s="25"/>
      <c r="CB219" s="26"/>
      <c r="CC219" s="26"/>
      <c r="CD219" s="35"/>
      <c r="CE219" s="25"/>
      <c r="CF219" s="26"/>
      <c r="CG219" s="26"/>
      <c r="CH219" s="35"/>
      <c r="CI219" s="25"/>
      <c r="CJ219" s="26"/>
      <c r="CK219" s="26"/>
      <c r="CL219" s="35"/>
      <c r="CM219" s="25"/>
      <c r="CN219" s="26"/>
      <c r="CO219" s="26"/>
      <c r="CP219" s="35"/>
      <c r="CQ219" s="25"/>
      <c r="CR219" s="26"/>
      <c r="CS219" s="26"/>
      <c r="CT219" s="35"/>
      <c r="CU219" s="25"/>
      <c r="CV219" s="26"/>
      <c r="CW219" s="26"/>
      <c r="CX219" s="35"/>
      <c r="CY219" s="25"/>
      <c r="CZ219" s="26"/>
      <c r="DA219" s="26"/>
      <c r="DB219" s="35"/>
      <c r="DC219" s="25"/>
      <c r="DD219" s="26"/>
      <c r="DE219" s="26"/>
      <c r="DF219" s="35"/>
      <c r="DG219" s="25"/>
      <c r="DH219" s="26"/>
      <c r="DI219" s="26"/>
      <c r="DJ219" s="35"/>
      <c r="DK219" s="25"/>
      <c r="DL219" s="26"/>
      <c r="DM219" s="26"/>
      <c r="DN219" s="35"/>
      <c r="DO219" s="25"/>
      <c r="DP219" s="26"/>
      <c r="DQ219" s="26"/>
      <c r="DR219" s="35"/>
      <c r="DS219" s="25"/>
      <c r="DT219" s="26"/>
      <c r="DU219" s="26"/>
      <c r="DV219" s="35"/>
      <c r="DW219" s="25"/>
      <c r="DX219" s="26"/>
      <c r="DY219" s="26"/>
      <c r="DZ219" s="35"/>
      <c r="EA219" s="25"/>
      <c r="EB219" s="26"/>
      <c r="EC219" s="26"/>
      <c r="ED219" s="35"/>
      <c r="EE219" s="25"/>
      <c r="EF219" s="26"/>
      <c r="EG219" s="26"/>
      <c r="EH219" s="35"/>
      <c r="EI219" s="25"/>
      <c r="EJ219" s="26"/>
      <c r="EK219" s="26"/>
      <c r="EL219" s="35"/>
      <c r="EM219" s="25"/>
      <c r="EN219" s="26"/>
      <c r="EO219" s="26"/>
      <c r="EP219" s="35"/>
      <c r="EQ219" s="25"/>
      <c r="ER219" s="26"/>
      <c r="ES219" s="26"/>
      <c r="ET219" s="35"/>
      <c r="EU219" s="25"/>
      <c r="EV219" s="26"/>
      <c r="EW219" s="26"/>
      <c r="EX219" s="35"/>
      <c r="EY219" s="25"/>
      <c r="EZ219" s="26"/>
      <c r="FA219" s="26"/>
      <c r="FB219" s="35"/>
      <c r="FC219" s="25"/>
      <c r="FD219" s="26"/>
      <c r="FE219" s="26"/>
      <c r="FF219" s="35"/>
      <c r="FG219" s="25"/>
      <c r="FH219" s="26"/>
      <c r="FI219" s="26"/>
      <c r="FJ219" s="35"/>
      <c r="FK219" s="25"/>
      <c r="FL219" s="26"/>
      <c r="FM219" s="26"/>
      <c r="FN219" s="35"/>
      <c r="FO219" s="25"/>
      <c r="FP219" s="26"/>
      <c r="FQ219" s="26"/>
      <c r="FR219" s="35"/>
      <c r="FS219" s="25"/>
      <c r="FT219" s="26"/>
      <c r="FU219" s="26"/>
      <c r="FV219" s="35"/>
      <c r="FW219" s="25"/>
      <c r="FX219" s="26"/>
      <c r="FY219" s="26"/>
      <c r="FZ219" s="35"/>
      <c r="GA219" s="25"/>
      <c r="GB219" s="26"/>
      <c r="GC219" s="26"/>
      <c r="GD219" s="35"/>
      <c r="GE219" s="25"/>
      <c r="GF219" s="26"/>
      <c r="GG219" s="26"/>
      <c r="GH219" s="35"/>
      <c r="GI219" s="25"/>
      <c r="GJ219" s="26"/>
      <c r="GK219" s="26"/>
      <c r="GL219" s="35"/>
      <c r="GM219" s="25"/>
      <c r="GN219" s="26"/>
      <c r="GO219" s="26"/>
      <c r="GP219" s="35"/>
      <c r="GQ219" s="25"/>
      <c r="GR219" s="26"/>
      <c r="GS219" s="26"/>
      <c r="GT219" s="35"/>
      <c r="GU219" s="25"/>
      <c r="GV219" s="26"/>
      <c r="GW219" s="26"/>
      <c r="GX219" s="35"/>
      <c r="GY219" s="25"/>
      <c r="GZ219" s="26"/>
      <c r="HA219" s="26"/>
      <c r="HB219" s="35"/>
      <c r="HC219" s="25"/>
      <c r="HD219" s="26"/>
      <c r="HE219" s="26"/>
      <c r="HF219" s="35"/>
      <c r="HG219" s="25"/>
      <c r="HH219" s="26"/>
      <c r="HI219" s="26"/>
      <c r="HJ219" s="35"/>
      <c r="HK219" s="25"/>
      <c r="HL219" s="26"/>
      <c r="HM219" s="26"/>
      <c r="HN219" s="35"/>
      <c r="HO219" s="25"/>
      <c r="HP219" s="26"/>
      <c r="HQ219" s="26"/>
      <c r="HR219" s="35"/>
      <c r="HS219" s="25"/>
      <c r="HT219" s="26"/>
      <c r="HU219" s="26"/>
      <c r="HV219" s="35"/>
      <c r="HW219" s="25"/>
      <c r="HX219" s="26"/>
      <c r="HY219" s="26"/>
      <c r="HZ219" s="35"/>
      <c r="IA219" s="25"/>
      <c r="IB219" s="26"/>
      <c r="IC219" s="26"/>
      <c r="ID219" s="35"/>
      <c r="IE219" s="25"/>
      <c r="IF219" s="26"/>
      <c r="IG219" s="26"/>
      <c r="IH219" s="35"/>
      <c r="II219" s="25"/>
      <c r="IJ219" s="26"/>
      <c r="IK219" s="26"/>
      <c r="IL219" s="35"/>
      <c r="IM219" s="25"/>
      <c r="IN219" s="26"/>
      <c r="IO219" s="26"/>
      <c r="IP219" s="35"/>
      <c r="IQ219" s="25"/>
      <c r="IR219" s="26"/>
      <c r="IS219" s="26"/>
      <c r="IT219" s="35"/>
      <c r="IU219" s="25"/>
      <c r="IV219" s="26"/>
    </row>
    <row r="220" spans="2:256" ht="30" customHeight="1" x14ac:dyDescent="0.25">
      <c r="B220" s="14"/>
      <c r="C220" s="129"/>
      <c r="D220" s="130"/>
      <c r="E220" s="177"/>
      <c r="F220" s="105"/>
      <c r="G220" s="126"/>
      <c r="H220" s="177"/>
      <c r="I220" s="104">
        <f t="shared" si="75"/>
        <v>1.3333333333333333</v>
      </c>
      <c r="J220" s="176"/>
      <c r="K220" s="159"/>
      <c r="L220" s="110"/>
      <c r="M220" s="107"/>
      <c r="N220" s="108"/>
      <c r="O220" s="109"/>
      <c r="P220" s="109"/>
      <c r="Q220" s="109"/>
      <c r="R220" s="108"/>
      <c r="S220" s="159"/>
      <c r="T220" s="159"/>
      <c r="U220" s="107"/>
      <c r="V220" s="107"/>
      <c r="W220" s="107"/>
      <c r="X220" s="110"/>
      <c r="Y220" s="107"/>
      <c r="Z220" s="107">
        <f>Y220*12/10</f>
        <v>0</v>
      </c>
      <c r="AA220" s="110"/>
      <c r="AB220" s="110"/>
      <c r="AC220" s="110"/>
      <c r="AD220" s="110"/>
      <c r="AE220" s="159"/>
      <c r="AF220" s="110"/>
      <c r="AG220" s="26"/>
      <c r="AH220" s="26"/>
      <c r="AI220" s="35"/>
      <c r="AJ220" s="25"/>
      <c r="AK220" s="26"/>
      <c r="AL220" s="26"/>
      <c r="AM220" s="35"/>
      <c r="AN220" s="25"/>
      <c r="AO220" s="26"/>
      <c r="AP220" s="35"/>
      <c r="AQ220" s="25"/>
      <c r="AR220" s="26"/>
      <c r="AS220" s="26"/>
      <c r="AT220" s="35"/>
      <c r="AU220" s="25"/>
      <c r="AV220" s="26"/>
      <c r="AW220" s="35"/>
      <c r="AX220" s="26"/>
      <c r="AY220" s="26"/>
      <c r="AZ220" s="35"/>
      <c r="BA220" s="26"/>
      <c r="BB220" s="35"/>
      <c r="BC220" s="25"/>
      <c r="BD220" s="26"/>
      <c r="BE220" s="26"/>
      <c r="BF220" s="35"/>
      <c r="BG220" s="25"/>
      <c r="BH220" s="26"/>
      <c r="BI220" s="26"/>
      <c r="BJ220" s="35"/>
      <c r="BK220" s="25"/>
      <c r="BL220" s="26"/>
      <c r="BM220" s="26"/>
      <c r="BN220" s="35"/>
      <c r="BO220" s="25"/>
      <c r="BP220" s="26"/>
      <c r="BQ220" s="26"/>
      <c r="BR220" s="35"/>
      <c r="BS220" s="25"/>
      <c r="BT220" s="26"/>
      <c r="BU220" s="26"/>
      <c r="BV220" s="35"/>
      <c r="BW220" s="25"/>
      <c r="BX220" s="26"/>
      <c r="BY220" s="26"/>
      <c r="BZ220" s="35"/>
      <c r="CA220" s="25"/>
      <c r="CB220" s="26"/>
      <c r="CC220" s="26"/>
      <c r="CD220" s="35"/>
      <c r="CE220" s="25"/>
      <c r="CF220" s="26"/>
      <c r="CG220" s="26"/>
      <c r="CH220" s="35"/>
      <c r="CI220" s="25"/>
      <c r="CJ220" s="26"/>
      <c r="CK220" s="26"/>
      <c r="CL220" s="35"/>
      <c r="CM220" s="25"/>
      <c r="CN220" s="26"/>
      <c r="CO220" s="26"/>
      <c r="CP220" s="35"/>
      <c r="CQ220" s="25"/>
      <c r="CR220" s="26"/>
      <c r="CS220" s="26"/>
      <c r="CT220" s="35"/>
      <c r="CU220" s="25"/>
      <c r="CV220" s="26"/>
      <c r="CW220" s="26"/>
      <c r="CX220" s="35"/>
      <c r="CY220" s="25"/>
      <c r="CZ220" s="26"/>
      <c r="DA220" s="26"/>
      <c r="DB220" s="35"/>
      <c r="DC220" s="25"/>
      <c r="DD220" s="26"/>
      <c r="DE220" s="26"/>
      <c r="DF220" s="35"/>
      <c r="DG220" s="25"/>
      <c r="DH220" s="26"/>
      <c r="DI220" s="26"/>
      <c r="DJ220" s="35"/>
      <c r="DK220" s="25"/>
      <c r="DL220" s="26"/>
      <c r="DM220" s="26"/>
      <c r="DN220" s="35"/>
      <c r="DO220" s="25"/>
      <c r="DP220" s="26"/>
      <c r="DQ220" s="26"/>
      <c r="DR220" s="35"/>
      <c r="DS220" s="25"/>
      <c r="DT220" s="26"/>
      <c r="DU220" s="26"/>
      <c r="DV220" s="35"/>
      <c r="DW220" s="25"/>
      <c r="DX220" s="26"/>
      <c r="DY220" s="26"/>
      <c r="DZ220" s="35"/>
      <c r="EA220" s="25"/>
      <c r="EB220" s="26"/>
      <c r="EC220" s="26"/>
      <c r="ED220" s="35"/>
      <c r="EE220" s="25"/>
      <c r="EF220" s="26"/>
      <c r="EG220" s="26"/>
      <c r="EH220" s="35"/>
      <c r="EI220" s="25"/>
      <c r="EJ220" s="26"/>
      <c r="EK220" s="26"/>
      <c r="EL220" s="35"/>
      <c r="EM220" s="25"/>
      <c r="EN220" s="26"/>
      <c r="EO220" s="26"/>
      <c r="EP220" s="35"/>
      <c r="EQ220" s="25"/>
      <c r="ER220" s="26"/>
      <c r="ES220" s="26"/>
      <c r="ET220" s="35"/>
      <c r="EU220" s="25"/>
      <c r="EV220" s="26"/>
      <c r="EW220" s="26"/>
      <c r="EX220" s="35"/>
      <c r="EY220" s="25"/>
      <c r="EZ220" s="26"/>
      <c r="FA220" s="26"/>
      <c r="FB220" s="35"/>
      <c r="FC220" s="25"/>
      <c r="FD220" s="26"/>
      <c r="FE220" s="26"/>
      <c r="FF220" s="35"/>
      <c r="FG220" s="25"/>
      <c r="FH220" s="26"/>
      <c r="FI220" s="26"/>
      <c r="FJ220" s="35"/>
      <c r="FK220" s="25"/>
      <c r="FL220" s="26"/>
      <c r="FM220" s="26"/>
      <c r="FN220" s="35"/>
      <c r="FO220" s="25"/>
      <c r="FP220" s="26"/>
      <c r="FQ220" s="26"/>
      <c r="FR220" s="35"/>
      <c r="FS220" s="25"/>
      <c r="FT220" s="26"/>
      <c r="FU220" s="26"/>
      <c r="FV220" s="35"/>
      <c r="FW220" s="25"/>
      <c r="FX220" s="26"/>
      <c r="FY220" s="26"/>
      <c r="FZ220" s="35"/>
      <c r="GA220" s="25"/>
      <c r="GB220" s="26"/>
      <c r="GC220" s="26"/>
      <c r="GD220" s="35"/>
      <c r="GE220" s="25"/>
      <c r="GF220" s="26"/>
      <c r="GG220" s="26"/>
      <c r="GH220" s="35"/>
      <c r="GI220" s="25"/>
      <c r="GJ220" s="26"/>
      <c r="GK220" s="26"/>
      <c r="GL220" s="35"/>
      <c r="GM220" s="25"/>
      <c r="GN220" s="26"/>
      <c r="GO220" s="26"/>
      <c r="GP220" s="35"/>
      <c r="GQ220" s="25"/>
      <c r="GR220" s="26"/>
      <c r="GS220" s="26"/>
      <c r="GT220" s="35"/>
      <c r="GU220" s="25"/>
      <c r="GV220" s="26"/>
      <c r="GW220" s="26"/>
      <c r="GX220" s="35"/>
      <c r="GY220" s="25"/>
      <c r="GZ220" s="26"/>
      <c r="HA220" s="26"/>
      <c r="HB220" s="35"/>
      <c r="HC220" s="25"/>
      <c r="HD220" s="26"/>
      <c r="HE220" s="26"/>
      <c r="HF220" s="35"/>
      <c r="HG220" s="25"/>
      <c r="HH220" s="26"/>
      <c r="HI220" s="26"/>
      <c r="HJ220" s="35"/>
      <c r="HK220" s="25"/>
      <c r="HL220" s="26"/>
      <c r="HM220" s="26"/>
      <c r="HN220" s="35"/>
      <c r="HO220" s="25"/>
      <c r="HP220" s="26"/>
      <c r="HQ220" s="26"/>
      <c r="HR220" s="35"/>
      <c r="HS220" s="25"/>
      <c r="HT220" s="26"/>
      <c r="HU220" s="26"/>
      <c r="HV220" s="35"/>
      <c r="HW220" s="25"/>
      <c r="HX220" s="26"/>
      <c r="HY220" s="26"/>
      <c r="HZ220" s="35"/>
      <c r="IA220" s="25"/>
      <c r="IB220" s="26"/>
      <c r="IC220" s="26"/>
      <c r="ID220" s="35"/>
      <c r="IE220" s="25"/>
      <c r="IF220" s="26"/>
      <c r="IG220" s="26"/>
      <c r="IH220" s="35"/>
      <c r="II220" s="25"/>
      <c r="IJ220" s="26"/>
      <c r="IK220" s="26"/>
      <c r="IL220" s="35"/>
      <c r="IM220" s="25"/>
      <c r="IN220" s="26"/>
      <c r="IO220" s="26"/>
      <c r="IP220" s="35"/>
      <c r="IQ220" s="25"/>
      <c r="IR220" s="26"/>
      <c r="IS220" s="26"/>
      <c r="IT220" s="35"/>
      <c r="IU220" s="25"/>
      <c r="IV220" s="26"/>
    </row>
    <row r="221" spans="2:256" ht="30" customHeight="1" x14ac:dyDescent="0.25">
      <c r="B221" s="14">
        <v>4420</v>
      </c>
      <c r="C221" s="157">
        <v>433000.64</v>
      </c>
      <c r="D221" s="103" t="s">
        <v>333</v>
      </c>
      <c r="E221" s="104">
        <v>15000</v>
      </c>
      <c r="F221" s="105"/>
      <c r="G221" s="126">
        <v>25357</v>
      </c>
      <c r="H221" s="104">
        <v>24000</v>
      </c>
      <c r="I221" s="104">
        <f t="shared" si="75"/>
        <v>1.3333333333333333</v>
      </c>
      <c r="J221" s="176"/>
      <c r="K221" s="107">
        <v>15000</v>
      </c>
      <c r="L221" s="108">
        <v>9000</v>
      </c>
      <c r="M221" s="107">
        <v>9375</v>
      </c>
      <c r="N221" s="108"/>
      <c r="O221" s="109">
        <f>M221*4/3</f>
        <v>12500</v>
      </c>
      <c r="P221" s="109">
        <v>20727</v>
      </c>
      <c r="Q221" s="109">
        <f>P221/8*4</f>
        <v>10363.5</v>
      </c>
      <c r="R221" s="107">
        <v>15000</v>
      </c>
      <c r="S221" s="107">
        <v>30100</v>
      </c>
      <c r="T221" s="107">
        <f>Q221+P221</f>
        <v>31090.5</v>
      </c>
      <c r="U221" s="107">
        <f>S221</f>
        <v>30100</v>
      </c>
      <c r="V221" s="107">
        <v>5765</v>
      </c>
      <c r="W221" s="107">
        <f>V221*2</f>
        <v>11530</v>
      </c>
      <c r="X221" s="110">
        <f>U221</f>
        <v>30100</v>
      </c>
      <c r="Y221" s="107">
        <v>8857</v>
      </c>
      <c r="Z221" s="107">
        <f>Y221*12/10</f>
        <v>10628.4</v>
      </c>
      <c r="AA221" s="110"/>
      <c r="AB221" s="110">
        <v>5847</v>
      </c>
      <c r="AC221" s="110">
        <v>7000</v>
      </c>
      <c r="AD221" s="108">
        <f>AC221</f>
        <v>7000</v>
      </c>
      <c r="AE221" s="107">
        <v>11000</v>
      </c>
      <c r="AF221" s="108">
        <v>11000</v>
      </c>
      <c r="AG221" s="26"/>
      <c r="AH221" s="26"/>
      <c r="AI221" s="35"/>
      <c r="AJ221" s="25"/>
      <c r="AK221" s="26"/>
      <c r="AL221" s="26"/>
      <c r="AM221" s="35"/>
      <c r="AN221" s="25"/>
      <c r="AO221" s="26"/>
      <c r="AP221" s="35"/>
      <c r="AQ221" s="25"/>
      <c r="AR221" s="26"/>
      <c r="AS221" s="26"/>
      <c r="AT221" s="35"/>
      <c r="AU221" s="25"/>
      <c r="AV221" s="26"/>
      <c r="AW221" s="35"/>
      <c r="AX221" s="26"/>
      <c r="AY221" s="26"/>
      <c r="AZ221" s="35"/>
      <c r="BA221" s="26"/>
      <c r="BB221" s="35"/>
      <c r="BC221" s="25"/>
      <c r="BD221" s="26"/>
      <c r="BE221" s="26"/>
      <c r="BF221" s="35"/>
      <c r="BG221" s="25"/>
      <c r="BH221" s="26"/>
      <c r="BI221" s="26"/>
      <c r="BJ221" s="35"/>
      <c r="BK221" s="25"/>
      <c r="BL221" s="26"/>
      <c r="BM221" s="26"/>
      <c r="BN221" s="35"/>
      <c r="BO221" s="25"/>
      <c r="BP221" s="26"/>
      <c r="BQ221" s="26"/>
      <c r="BR221" s="35"/>
      <c r="BS221" s="25"/>
      <c r="BT221" s="26"/>
      <c r="BU221" s="26"/>
      <c r="BV221" s="35"/>
      <c r="BW221" s="25"/>
      <c r="BX221" s="26"/>
      <c r="BY221" s="26"/>
      <c r="BZ221" s="35"/>
      <c r="CA221" s="25"/>
      <c r="CB221" s="26"/>
      <c r="CC221" s="26"/>
      <c r="CD221" s="35"/>
      <c r="CE221" s="25"/>
      <c r="CF221" s="26"/>
      <c r="CG221" s="26"/>
      <c r="CH221" s="35"/>
      <c r="CI221" s="25"/>
      <c r="CJ221" s="26"/>
      <c r="CK221" s="26"/>
      <c r="CL221" s="35"/>
      <c r="CM221" s="25"/>
      <c r="CN221" s="26"/>
      <c r="CO221" s="26"/>
      <c r="CP221" s="35"/>
      <c r="CQ221" s="25"/>
      <c r="CR221" s="26"/>
      <c r="CS221" s="26"/>
      <c r="CT221" s="35"/>
      <c r="CU221" s="25"/>
      <c r="CV221" s="26"/>
      <c r="CW221" s="26"/>
      <c r="CX221" s="35"/>
      <c r="CY221" s="25"/>
      <c r="CZ221" s="26"/>
      <c r="DA221" s="26"/>
      <c r="DB221" s="35"/>
      <c r="DC221" s="25"/>
      <c r="DD221" s="26"/>
      <c r="DE221" s="26"/>
      <c r="DF221" s="35"/>
      <c r="DG221" s="25"/>
      <c r="DH221" s="26"/>
      <c r="DI221" s="26"/>
      <c r="DJ221" s="35"/>
      <c r="DK221" s="25"/>
      <c r="DL221" s="26"/>
      <c r="DM221" s="26"/>
      <c r="DN221" s="35"/>
      <c r="DO221" s="25"/>
      <c r="DP221" s="26"/>
      <c r="DQ221" s="26"/>
      <c r="DR221" s="35"/>
      <c r="DS221" s="25"/>
      <c r="DT221" s="26"/>
      <c r="DU221" s="26"/>
      <c r="DV221" s="35"/>
      <c r="DW221" s="25"/>
      <c r="DX221" s="26"/>
      <c r="DY221" s="26"/>
      <c r="DZ221" s="35"/>
      <c r="EA221" s="25"/>
      <c r="EB221" s="26"/>
      <c r="EC221" s="26"/>
      <c r="ED221" s="35"/>
      <c r="EE221" s="25"/>
      <c r="EF221" s="26"/>
      <c r="EG221" s="26"/>
      <c r="EH221" s="35"/>
      <c r="EI221" s="25"/>
      <c r="EJ221" s="26"/>
      <c r="EK221" s="26"/>
      <c r="EL221" s="35"/>
      <c r="EM221" s="25"/>
      <c r="EN221" s="26"/>
      <c r="EO221" s="26"/>
      <c r="EP221" s="35"/>
      <c r="EQ221" s="25"/>
      <c r="ER221" s="26"/>
      <c r="ES221" s="26"/>
      <c r="ET221" s="35"/>
      <c r="EU221" s="25"/>
      <c r="EV221" s="26"/>
      <c r="EW221" s="26"/>
      <c r="EX221" s="35"/>
      <c r="EY221" s="25"/>
      <c r="EZ221" s="26"/>
      <c r="FA221" s="26"/>
      <c r="FB221" s="35"/>
      <c r="FC221" s="25"/>
      <c r="FD221" s="26"/>
      <c r="FE221" s="26"/>
      <c r="FF221" s="35"/>
      <c r="FG221" s="25"/>
      <c r="FH221" s="26"/>
      <c r="FI221" s="26"/>
      <c r="FJ221" s="35"/>
      <c r="FK221" s="25"/>
      <c r="FL221" s="26"/>
      <c r="FM221" s="26"/>
      <c r="FN221" s="35"/>
      <c r="FO221" s="25"/>
      <c r="FP221" s="26"/>
      <c r="FQ221" s="26"/>
      <c r="FR221" s="35"/>
      <c r="FS221" s="25"/>
      <c r="FT221" s="26"/>
      <c r="FU221" s="26"/>
      <c r="FV221" s="35"/>
      <c r="FW221" s="25"/>
      <c r="FX221" s="26"/>
      <c r="FY221" s="26"/>
      <c r="FZ221" s="35"/>
      <c r="GA221" s="25"/>
      <c r="GB221" s="26"/>
      <c r="GC221" s="26"/>
      <c r="GD221" s="35"/>
      <c r="GE221" s="25"/>
      <c r="GF221" s="26"/>
      <c r="GG221" s="26"/>
      <c r="GH221" s="35"/>
      <c r="GI221" s="25"/>
      <c r="GJ221" s="26"/>
      <c r="GK221" s="26"/>
      <c r="GL221" s="35"/>
      <c r="GM221" s="25"/>
      <c r="GN221" s="26"/>
      <c r="GO221" s="26"/>
      <c r="GP221" s="35"/>
      <c r="GQ221" s="25"/>
      <c r="GR221" s="26"/>
      <c r="GS221" s="26"/>
      <c r="GT221" s="35"/>
      <c r="GU221" s="25"/>
      <c r="GV221" s="26"/>
      <c r="GW221" s="26"/>
      <c r="GX221" s="35"/>
      <c r="GY221" s="25"/>
      <c r="GZ221" s="26"/>
      <c r="HA221" s="26"/>
      <c r="HB221" s="35"/>
      <c r="HC221" s="25"/>
      <c r="HD221" s="26"/>
      <c r="HE221" s="26"/>
      <c r="HF221" s="35"/>
      <c r="HG221" s="25"/>
      <c r="HH221" s="26"/>
      <c r="HI221" s="26"/>
      <c r="HJ221" s="35"/>
      <c r="HK221" s="25"/>
      <c r="HL221" s="26"/>
      <c r="HM221" s="26"/>
      <c r="HN221" s="35"/>
      <c r="HO221" s="25"/>
      <c r="HP221" s="26"/>
      <c r="HQ221" s="26"/>
      <c r="HR221" s="35"/>
      <c r="HS221" s="25"/>
      <c r="HT221" s="26"/>
      <c r="HU221" s="26"/>
      <c r="HV221" s="35"/>
      <c r="HW221" s="25"/>
      <c r="HX221" s="26"/>
      <c r="HY221" s="26"/>
      <c r="HZ221" s="35"/>
      <c r="IA221" s="25"/>
      <c r="IB221" s="26"/>
      <c r="IC221" s="26"/>
      <c r="ID221" s="35"/>
      <c r="IE221" s="25"/>
      <c r="IF221" s="26"/>
      <c r="IG221" s="26"/>
      <c r="IH221" s="35"/>
      <c r="II221" s="25"/>
      <c r="IJ221" s="26"/>
      <c r="IK221" s="26"/>
      <c r="IL221" s="35"/>
      <c r="IM221" s="25"/>
      <c r="IN221" s="26"/>
      <c r="IO221" s="26"/>
      <c r="IP221" s="35"/>
      <c r="IQ221" s="25"/>
      <c r="IR221" s="26"/>
      <c r="IS221" s="26"/>
      <c r="IT221" s="35"/>
      <c r="IU221" s="25"/>
      <c r="IV221" s="26"/>
    </row>
    <row r="222" spans="2:256" ht="30" customHeight="1" x14ac:dyDescent="0.25">
      <c r="B222" s="14"/>
      <c r="C222" s="157"/>
      <c r="D222" s="103"/>
      <c r="E222" s="104"/>
      <c r="F222" s="105"/>
      <c r="G222" s="126"/>
      <c r="H222" s="104"/>
      <c r="I222" s="104"/>
      <c r="J222" s="176"/>
      <c r="K222" s="107"/>
      <c r="L222" s="108"/>
      <c r="M222" s="107"/>
      <c r="N222" s="108"/>
      <c r="O222" s="109"/>
      <c r="P222" s="109"/>
      <c r="Q222" s="109"/>
      <c r="R222" s="107"/>
      <c r="S222" s="107"/>
      <c r="T222" s="107"/>
      <c r="U222" s="107"/>
      <c r="V222" s="107"/>
      <c r="W222" s="107"/>
      <c r="X222" s="110"/>
      <c r="Y222" s="107"/>
      <c r="Z222" s="107"/>
      <c r="AA222" s="110"/>
      <c r="AB222" s="110"/>
      <c r="AC222" s="110"/>
      <c r="AD222" s="110"/>
      <c r="AE222" s="159"/>
      <c r="AF222" s="110"/>
      <c r="AG222" s="26"/>
      <c r="AH222" s="26"/>
      <c r="AI222" s="35"/>
      <c r="AJ222" s="25"/>
      <c r="AK222" s="26"/>
      <c r="AL222" s="26"/>
      <c r="AM222" s="35"/>
      <c r="AN222" s="25"/>
      <c r="AO222" s="26"/>
      <c r="AP222" s="35"/>
      <c r="AQ222" s="25"/>
      <c r="AR222" s="26"/>
      <c r="AS222" s="26"/>
      <c r="AT222" s="35"/>
      <c r="AU222" s="25"/>
      <c r="AV222" s="26"/>
      <c r="AW222" s="35"/>
      <c r="AX222" s="26"/>
      <c r="AY222" s="26"/>
      <c r="AZ222" s="35"/>
      <c r="BA222" s="26"/>
      <c r="BB222" s="35"/>
      <c r="BC222" s="25"/>
      <c r="BD222" s="26"/>
      <c r="BE222" s="26"/>
      <c r="BF222" s="35"/>
      <c r="BG222" s="25"/>
      <c r="BH222" s="26"/>
      <c r="BI222" s="26"/>
      <c r="BJ222" s="35"/>
      <c r="BK222" s="25"/>
      <c r="BL222" s="26"/>
      <c r="BM222" s="26"/>
      <c r="BN222" s="35"/>
      <c r="BO222" s="25"/>
      <c r="BP222" s="26"/>
      <c r="BQ222" s="26"/>
      <c r="BR222" s="35"/>
      <c r="BS222" s="25"/>
      <c r="BT222" s="26"/>
      <c r="BU222" s="26"/>
      <c r="BV222" s="35"/>
      <c r="BW222" s="25"/>
      <c r="BX222" s="26"/>
      <c r="BY222" s="26"/>
      <c r="BZ222" s="35"/>
      <c r="CA222" s="25"/>
      <c r="CB222" s="26"/>
      <c r="CC222" s="26"/>
      <c r="CD222" s="35"/>
      <c r="CE222" s="25"/>
      <c r="CF222" s="26"/>
      <c r="CG222" s="26"/>
      <c r="CH222" s="35"/>
      <c r="CI222" s="25"/>
      <c r="CJ222" s="26"/>
      <c r="CK222" s="26"/>
      <c r="CL222" s="35"/>
      <c r="CM222" s="25"/>
      <c r="CN222" s="26"/>
      <c r="CO222" s="26"/>
      <c r="CP222" s="35"/>
      <c r="CQ222" s="25"/>
      <c r="CR222" s="26"/>
      <c r="CS222" s="26"/>
      <c r="CT222" s="35"/>
      <c r="CU222" s="25"/>
      <c r="CV222" s="26"/>
      <c r="CW222" s="26"/>
      <c r="CX222" s="35"/>
      <c r="CY222" s="25"/>
      <c r="CZ222" s="26"/>
      <c r="DA222" s="26"/>
      <c r="DB222" s="35"/>
      <c r="DC222" s="25"/>
      <c r="DD222" s="26"/>
      <c r="DE222" s="26"/>
      <c r="DF222" s="35"/>
      <c r="DG222" s="25"/>
      <c r="DH222" s="26"/>
      <c r="DI222" s="26"/>
      <c r="DJ222" s="35"/>
      <c r="DK222" s="25"/>
      <c r="DL222" s="26"/>
      <c r="DM222" s="26"/>
      <c r="DN222" s="35"/>
      <c r="DO222" s="25"/>
      <c r="DP222" s="26"/>
      <c r="DQ222" s="26"/>
      <c r="DR222" s="35"/>
      <c r="DS222" s="25"/>
      <c r="DT222" s="26"/>
      <c r="DU222" s="26"/>
      <c r="DV222" s="35"/>
      <c r="DW222" s="25"/>
      <c r="DX222" s="26"/>
      <c r="DY222" s="26"/>
      <c r="DZ222" s="35"/>
      <c r="EA222" s="25"/>
      <c r="EB222" s="26"/>
      <c r="EC222" s="26"/>
      <c r="ED222" s="35"/>
      <c r="EE222" s="25"/>
      <c r="EF222" s="26"/>
      <c r="EG222" s="26"/>
      <c r="EH222" s="35"/>
      <c r="EI222" s="25"/>
      <c r="EJ222" s="26"/>
      <c r="EK222" s="26"/>
      <c r="EL222" s="35"/>
      <c r="EM222" s="25"/>
      <c r="EN222" s="26"/>
      <c r="EO222" s="26"/>
      <c r="EP222" s="35"/>
      <c r="EQ222" s="25"/>
      <c r="ER222" s="26"/>
      <c r="ES222" s="26"/>
      <c r="ET222" s="35"/>
      <c r="EU222" s="25"/>
      <c r="EV222" s="26"/>
      <c r="EW222" s="26"/>
      <c r="EX222" s="35"/>
      <c r="EY222" s="25"/>
      <c r="EZ222" s="26"/>
      <c r="FA222" s="26"/>
      <c r="FB222" s="35"/>
      <c r="FC222" s="25"/>
      <c r="FD222" s="26"/>
      <c r="FE222" s="26"/>
      <c r="FF222" s="35"/>
      <c r="FG222" s="25"/>
      <c r="FH222" s="26"/>
      <c r="FI222" s="26"/>
      <c r="FJ222" s="35"/>
      <c r="FK222" s="25"/>
      <c r="FL222" s="26"/>
      <c r="FM222" s="26"/>
      <c r="FN222" s="35"/>
      <c r="FO222" s="25"/>
      <c r="FP222" s="26"/>
      <c r="FQ222" s="26"/>
      <c r="FR222" s="35"/>
      <c r="FS222" s="25"/>
      <c r="FT222" s="26"/>
      <c r="FU222" s="26"/>
      <c r="FV222" s="35"/>
      <c r="FW222" s="25"/>
      <c r="FX222" s="26"/>
      <c r="FY222" s="26"/>
      <c r="FZ222" s="35"/>
      <c r="GA222" s="25"/>
      <c r="GB222" s="26"/>
      <c r="GC222" s="26"/>
      <c r="GD222" s="35"/>
      <c r="GE222" s="25"/>
      <c r="GF222" s="26"/>
      <c r="GG222" s="26"/>
      <c r="GH222" s="35"/>
      <c r="GI222" s="25"/>
      <c r="GJ222" s="26"/>
      <c r="GK222" s="26"/>
      <c r="GL222" s="35"/>
      <c r="GM222" s="25"/>
      <c r="GN222" s="26"/>
      <c r="GO222" s="26"/>
      <c r="GP222" s="35"/>
      <c r="GQ222" s="25"/>
      <c r="GR222" s="26"/>
      <c r="GS222" s="26"/>
      <c r="GT222" s="35"/>
      <c r="GU222" s="25"/>
      <c r="GV222" s="26"/>
      <c r="GW222" s="26"/>
      <c r="GX222" s="35"/>
      <c r="GY222" s="25"/>
      <c r="GZ222" s="26"/>
      <c r="HA222" s="26"/>
      <c r="HB222" s="35"/>
      <c r="HC222" s="25"/>
      <c r="HD222" s="26"/>
      <c r="HE222" s="26"/>
      <c r="HF222" s="35"/>
      <c r="HG222" s="25"/>
      <c r="HH222" s="26"/>
      <c r="HI222" s="26"/>
      <c r="HJ222" s="35"/>
      <c r="HK222" s="25"/>
      <c r="HL222" s="26"/>
      <c r="HM222" s="26"/>
      <c r="HN222" s="35"/>
      <c r="HO222" s="25"/>
      <c r="HP222" s="26"/>
      <c r="HQ222" s="26"/>
      <c r="HR222" s="35"/>
      <c r="HS222" s="25"/>
      <c r="HT222" s="26"/>
      <c r="HU222" s="26"/>
      <c r="HV222" s="35"/>
      <c r="HW222" s="25"/>
      <c r="HX222" s="26"/>
      <c r="HY222" s="26"/>
      <c r="HZ222" s="35"/>
      <c r="IA222" s="25"/>
      <c r="IB222" s="26"/>
      <c r="IC222" s="26"/>
      <c r="ID222" s="35"/>
      <c r="IE222" s="25"/>
      <c r="IF222" s="26"/>
      <c r="IG222" s="26"/>
      <c r="IH222" s="35"/>
      <c r="II222" s="25"/>
      <c r="IJ222" s="26"/>
      <c r="IK222" s="26"/>
      <c r="IL222" s="35"/>
      <c r="IM222" s="25"/>
      <c r="IN222" s="26"/>
      <c r="IO222" s="26"/>
      <c r="IP222" s="35"/>
      <c r="IQ222" s="25"/>
      <c r="IR222" s="26"/>
      <c r="IS222" s="26"/>
      <c r="IT222" s="35"/>
      <c r="IU222" s="25"/>
      <c r="IV222" s="26"/>
    </row>
    <row r="223" spans="2:256" ht="30" customHeight="1" x14ac:dyDescent="0.25">
      <c r="B223" s="14"/>
      <c r="C223" s="113" t="s">
        <v>377</v>
      </c>
      <c r="D223" s="114" t="s">
        <v>334</v>
      </c>
      <c r="E223" s="115">
        <f>SUM(E221:E222)</f>
        <v>15000</v>
      </c>
      <c r="F223" s="115">
        <f>SUM(F221:F222)</f>
        <v>0</v>
      </c>
      <c r="G223" s="115">
        <f>SUM(G221:G222)</f>
        <v>25357</v>
      </c>
      <c r="H223" s="115">
        <f>SUM(H221:H222)</f>
        <v>24000</v>
      </c>
      <c r="I223" s="104">
        <f t="shared" si="75"/>
        <v>1.3333333333333333</v>
      </c>
      <c r="J223" s="176"/>
      <c r="K223" s="117">
        <f t="shared" ref="K223:AF223" si="83">SUM(K221:K222)</f>
        <v>15000</v>
      </c>
      <c r="L223" s="117">
        <f t="shared" si="83"/>
        <v>9000</v>
      </c>
      <c r="M223" s="117">
        <f t="shared" si="83"/>
        <v>9375</v>
      </c>
      <c r="N223" s="117">
        <f t="shared" si="83"/>
        <v>0</v>
      </c>
      <c r="O223" s="118">
        <f t="shared" si="83"/>
        <v>12500</v>
      </c>
      <c r="P223" s="118">
        <f t="shared" si="83"/>
        <v>20727</v>
      </c>
      <c r="Q223" s="118">
        <f t="shared" si="83"/>
        <v>10363.5</v>
      </c>
      <c r="R223" s="117">
        <f t="shared" si="83"/>
        <v>15000</v>
      </c>
      <c r="S223" s="117">
        <f t="shared" si="83"/>
        <v>30100</v>
      </c>
      <c r="T223" s="117">
        <f t="shared" si="83"/>
        <v>31090.5</v>
      </c>
      <c r="U223" s="117">
        <f t="shared" si="83"/>
        <v>30100</v>
      </c>
      <c r="V223" s="117">
        <f t="shared" si="83"/>
        <v>5765</v>
      </c>
      <c r="W223" s="117">
        <f t="shared" si="83"/>
        <v>11530</v>
      </c>
      <c r="X223" s="117">
        <f t="shared" si="83"/>
        <v>30100</v>
      </c>
      <c r="Y223" s="117">
        <f t="shared" si="83"/>
        <v>8857</v>
      </c>
      <c r="Z223" s="117">
        <f t="shared" si="83"/>
        <v>10628.4</v>
      </c>
      <c r="AA223" s="117">
        <f t="shared" si="83"/>
        <v>0</v>
      </c>
      <c r="AB223" s="117">
        <f t="shared" si="83"/>
        <v>5847</v>
      </c>
      <c r="AC223" s="117">
        <f t="shared" si="83"/>
        <v>7000</v>
      </c>
      <c r="AD223" s="117">
        <f t="shared" si="83"/>
        <v>7000</v>
      </c>
      <c r="AE223" s="117">
        <f t="shared" si="83"/>
        <v>11000</v>
      </c>
      <c r="AF223" s="117">
        <f t="shared" si="83"/>
        <v>11000</v>
      </c>
      <c r="AG223" s="26"/>
      <c r="AH223" s="26"/>
      <c r="AI223" s="35"/>
      <c r="AJ223" s="25"/>
      <c r="AK223" s="26"/>
      <c r="AL223" s="26"/>
      <c r="AM223" s="35"/>
      <c r="AN223" s="25"/>
      <c r="AO223" s="26"/>
      <c r="AP223" s="35"/>
      <c r="AQ223" s="25"/>
      <c r="AR223" s="26"/>
      <c r="AS223" s="26"/>
      <c r="AT223" s="35"/>
      <c r="AU223" s="25"/>
      <c r="AV223" s="26"/>
      <c r="AW223" s="35"/>
      <c r="AX223" s="26"/>
      <c r="AY223" s="26"/>
      <c r="AZ223" s="35"/>
      <c r="BA223" s="26"/>
      <c r="BB223" s="35"/>
      <c r="BC223" s="25"/>
      <c r="BD223" s="26"/>
      <c r="BE223" s="26"/>
      <c r="BF223" s="35"/>
      <c r="BG223" s="25"/>
      <c r="BH223" s="26"/>
      <c r="BI223" s="26"/>
      <c r="BJ223" s="35"/>
      <c r="BK223" s="25"/>
      <c r="BL223" s="26"/>
      <c r="BM223" s="26"/>
      <c r="BN223" s="35"/>
      <c r="BO223" s="25"/>
      <c r="BP223" s="26"/>
      <c r="BQ223" s="26"/>
      <c r="BR223" s="35"/>
      <c r="BS223" s="25"/>
      <c r="BT223" s="26"/>
      <c r="BU223" s="26"/>
      <c r="BV223" s="35"/>
      <c r="BW223" s="25"/>
      <c r="BX223" s="26"/>
      <c r="BY223" s="26"/>
      <c r="BZ223" s="35"/>
      <c r="CA223" s="25"/>
      <c r="CB223" s="26"/>
      <c r="CC223" s="26"/>
      <c r="CD223" s="35"/>
      <c r="CE223" s="25"/>
      <c r="CF223" s="26"/>
      <c r="CG223" s="26"/>
      <c r="CH223" s="35"/>
      <c r="CI223" s="25"/>
      <c r="CJ223" s="26"/>
      <c r="CK223" s="26"/>
      <c r="CL223" s="35"/>
      <c r="CM223" s="25"/>
      <c r="CN223" s="26"/>
      <c r="CO223" s="26"/>
      <c r="CP223" s="35"/>
      <c r="CQ223" s="25"/>
      <c r="CR223" s="26"/>
      <c r="CS223" s="26"/>
      <c r="CT223" s="35"/>
      <c r="CU223" s="25"/>
      <c r="CV223" s="26"/>
      <c r="CW223" s="26"/>
      <c r="CX223" s="35"/>
      <c r="CY223" s="25"/>
      <c r="CZ223" s="26"/>
      <c r="DA223" s="26"/>
      <c r="DB223" s="35"/>
      <c r="DC223" s="25"/>
      <c r="DD223" s="26"/>
      <c r="DE223" s="26"/>
      <c r="DF223" s="35"/>
      <c r="DG223" s="25"/>
      <c r="DH223" s="26"/>
      <c r="DI223" s="26"/>
      <c r="DJ223" s="35"/>
      <c r="DK223" s="25"/>
      <c r="DL223" s="26"/>
      <c r="DM223" s="26"/>
      <c r="DN223" s="35"/>
      <c r="DO223" s="25"/>
      <c r="DP223" s="26"/>
      <c r="DQ223" s="26"/>
      <c r="DR223" s="35"/>
      <c r="DS223" s="25"/>
      <c r="DT223" s="26"/>
      <c r="DU223" s="26"/>
      <c r="DV223" s="35"/>
      <c r="DW223" s="25"/>
      <c r="DX223" s="26"/>
      <c r="DY223" s="26"/>
      <c r="DZ223" s="35"/>
      <c r="EA223" s="25"/>
      <c r="EB223" s="26"/>
      <c r="EC223" s="26"/>
      <c r="ED223" s="35"/>
      <c r="EE223" s="25"/>
      <c r="EF223" s="26"/>
      <c r="EG223" s="26"/>
      <c r="EH223" s="35"/>
      <c r="EI223" s="25"/>
      <c r="EJ223" s="26"/>
      <c r="EK223" s="26"/>
      <c r="EL223" s="35"/>
      <c r="EM223" s="25"/>
      <c r="EN223" s="26"/>
      <c r="EO223" s="26"/>
      <c r="EP223" s="35"/>
      <c r="EQ223" s="25"/>
      <c r="ER223" s="26"/>
      <c r="ES223" s="26"/>
      <c r="ET223" s="35"/>
      <c r="EU223" s="25"/>
      <c r="EV223" s="26"/>
      <c r="EW223" s="26"/>
      <c r="EX223" s="35"/>
      <c r="EY223" s="25"/>
      <c r="EZ223" s="26"/>
      <c r="FA223" s="26"/>
      <c r="FB223" s="35"/>
      <c r="FC223" s="25"/>
      <c r="FD223" s="26"/>
      <c r="FE223" s="26"/>
      <c r="FF223" s="35"/>
      <c r="FG223" s="25"/>
      <c r="FH223" s="26"/>
      <c r="FI223" s="26"/>
      <c r="FJ223" s="35"/>
      <c r="FK223" s="25"/>
      <c r="FL223" s="26"/>
      <c r="FM223" s="26"/>
      <c r="FN223" s="35"/>
      <c r="FO223" s="25"/>
      <c r="FP223" s="26"/>
      <c r="FQ223" s="26"/>
      <c r="FR223" s="35"/>
      <c r="FS223" s="25"/>
      <c r="FT223" s="26"/>
      <c r="FU223" s="26"/>
      <c r="FV223" s="35"/>
      <c r="FW223" s="25"/>
      <c r="FX223" s="26"/>
      <c r="FY223" s="26"/>
      <c r="FZ223" s="35"/>
      <c r="GA223" s="25"/>
      <c r="GB223" s="26"/>
      <c r="GC223" s="26"/>
      <c r="GD223" s="35"/>
      <c r="GE223" s="25"/>
      <c r="GF223" s="26"/>
      <c r="GG223" s="26"/>
      <c r="GH223" s="35"/>
      <c r="GI223" s="25"/>
      <c r="GJ223" s="26"/>
      <c r="GK223" s="26"/>
      <c r="GL223" s="35"/>
      <c r="GM223" s="25"/>
      <c r="GN223" s="26"/>
      <c r="GO223" s="26"/>
      <c r="GP223" s="35"/>
      <c r="GQ223" s="25"/>
      <c r="GR223" s="26"/>
      <c r="GS223" s="26"/>
      <c r="GT223" s="35"/>
      <c r="GU223" s="25"/>
      <c r="GV223" s="26"/>
      <c r="GW223" s="26"/>
      <c r="GX223" s="35"/>
      <c r="GY223" s="25"/>
      <c r="GZ223" s="26"/>
      <c r="HA223" s="26"/>
      <c r="HB223" s="35"/>
      <c r="HC223" s="25"/>
      <c r="HD223" s="26"/>
      <c r="HE223" s="26"/>
      <c r="HF223" s="35"/>
      <c r="HG223" s="25"/>
      <c r="HH223" s="26"/>
      <c r="HI223" s="26"/>
      <c r="HJ223" s="35"/>
      <c r="HK223" s="25"/>
      <c r="HL223" s="26"/>
      <c r="HM223" s="26"/>
      <c r="HN223" s="35"/>
      <c r="HO223" s="25"/>
      <c r="HP223" s="26"/>
      <c r="HQ223" s="26"/>
      <c r="HR223" s="35"/>
      <c r="HS223" s="25"/>
      <c r="HT223" s="26"/>
      <c r="HU223" s="26"/>
      <c r="HV223" s="35"/>
      <c r="HW223" s="25"/>
      <c r="HX223" s="26"/>
      <c r="HY223" s="26"/>
      <c r="HZ223" s="35"/>
      <c r="IA223" s="25"/>
      <c r="IB223" s="26"/>
      <c r="IC223" s="26"/>
      <c r="ID223" s="35"/>
      <c r="IE223" s="25"/>
      <c r="IF223" s="26"/>
      <c r="IG223" s="26"/>
      <c r="IH223" s="35"/>
      <c r="II223" s="25"/>
      <c r="IJ223" s="26"/>
      <c r="IK223" s="26"/>
      <c r="IL223" s="35"/>
      <c r="IM223" s="25"/>
      <c r="IN223" s="26"/>
      <c r="IO223" s="26"/>
      <c r="IP223" s="35"/>
      <c r="IQ223" s="25"/>
      <c r="IR223" s="26"/>
      <c r="IS223" s="26"/>
      <c r="IT223" s="35"/>
      <c r="IU223" s="25"/>
      <c r="IV223" s="26"/>
    </row>
    <row r="224" spans="2:256" ht="30" customHeight="1" x14ac:dyDescent="0.25">
      <c r="B224" s="14"/>
      <c r="C224" s="129"/>
      <c r="D224" s="130"/>
      <c r="E224" s="104"/>
      <c r="F224" s="105"/>
      <c r="G224" s="126"/>
      <c r="H224" s="104"/>
      <c r="I224" s="104">
        <f t="shared" si="75"/>
        <v>1.3333333333333333</v>
      </c>
      <c r="J224" s="176"/>
      <c r="K224" s="159"/>
      <c r="L224" s="110"/>
      <c r="M224" s="107"/>
      <c r="N224" s="108"/>
      <c r="O224" s="109"/>
      <c r="P224" s="109"/>
      <c r="Q224" s="109"/>
      <c r="R224" s="159"/>
      <c r="S224" s="159"/>
      <c r="T224" s="159"/>
      <c r="U224" s="107"/>
      <c r="V224" s="107"/>
      <c r="W224" s="107"/>
      <c r="X224" s="110"/>
      <c r="Y224" s="107"/>
      <c r="Z224" s="107">
        <f>Y224*12/10</f>
        <v>0</v>
      </c>
      <c r="AA224" s="110"/>
      <c r="AB224" s="110"/>
      <c r="AC224" s="110"/>
      <c r="AD224" s="110"/>
      <c r="AE224" s="159"/>
      <c r="AF224" s="110"/>
      <c r="AG224" s="26"/>
      <c r="AH224" s="26"/>
      <c r="AI224" s="35"/>
      <c r="AJ224" s="25"/>
      <c r="AK224" s="26"/>
      <c r="AL224" s="26"/>
      <c r="AM224" s="35"/>
      <c r="AN224" s="25"/>
      <c r="AO224" s="26"/>
      <c r="AP224" s="35"/>
      <c r="AQ224" s="25"/>
      <c r="AR224" s="26"/>
      <c r="AS224" s="26"/>
      <c r="AT224" s="35"/>
      <c r="AU224" s="25"/>
      <c r="AV224" s="26"/>
      <c r="AW224" s="35"/>
      <c r="AX224" s="26"/>
      <c r="AY224" s="26"/>
      <c r="AZ224" s="35"/>
      <c r="BA224" s="26"/>
      <c r="BB224" s="35"/>
      <c r="BC224" s="25"/>
      <c r="BD224" s="26"/>
      <c r="BE224" s="26"/>
      <c r="BF224" s="35"/>
      <c r="BG224" s="25"/>
      <c r="BH224" s="26"/>
      <c r="BI224" s="26"/>
      <c r="BJ224" s="35"/>
      <c r="BK224" s="25"/>
      <c r="BL224" s="26"/>
      <c r="BM224" s="26"/>
      <c r="BN224" s="35"/>
      <c r="BO224" s="25"/>
      <c r="BP224" s="26"/>
      <c r="BQ224" s="26"/>
      <c r="BR224" s="35"/>
      <c r="BS224" s="25"/>
      <c r="BT224" s="26"/>
      <c r="BU224" s="26"/>
      <c r="BV224" s="35"/>
      <c r="BW224" s="25"/>
      <c r="BX224" s="26"/>
      <c r="BY224" s="26"/>
      <c r="BZ224" s="35"/>
      <c r="CA224" s="25"/>
      <c r="CB224" s="26"/>
      <c r="CC224" s="26"/>
      <c r="CD224" s="35"/>
      <c r="CE224" s="25"/>
      <c r="CF224" s="26"/>
      <c r="CG224" s="26"/>
      <c r="CH224" s="35"/>
      <c r="CI224" s="25"/>
      <c r="CJ224" s="26"/>
      <c r="CK224" s="26"/>
      <c r="CL224" s="35"/>
      <c r="CM224" s="25"/>
      <c r="CN224" s="26"/>
      <c r="CO224" s="26"/>
      <c r="CP224" s="35"/>
      <c r="CQ224" s="25"/>
      <c r="CR224" s="26"/>
      <c r="CS224" s="26"/>
      <c r="CT224" s="35"/>
      <c r="CU224" s="25"/>
      <c r="CV224" s="26"/>
      <c r="CW224" s="26"/>
      <c r="CX224" s="35"/>
      <c r="CY224" s="25"/>
      <c r="CZ224" s="26"/>
      <c r="DA224" s="26"/>
      <c r="DB224" s="35"/>
      <c r="DC224" s="25"/>
      <c r="DD224" s="26"/>
      <c r="DE224" s="26"/>
      <c r="DF224" s="35"/>
      <c r="DG224" s="25"/>
      <c r="DH224" s="26"/>
      <c r="DI224" s="26"/>
      <c r="DJ224" s="35"/>
      <c r="DK224" s="25"/>
      <c r="DL224" s="26"/>
      <c r="DM224" s="26"/>
      <c r="DN224" s="35"/>
      <c r="DO224" s="25"/>
      <c r="DP224" s="26"/>
      <c r="DQ224" s="26"/>
      <c r="DR224" s="35"/>
      <c r="DS224" s="25"/>
      <c r="DT224" s="26"/>
      <c r="DU224" s="26"/>
      <c r="DV224" s="35"/>
      <c r="DW224" s="25"/>
      <c r="DX224" s="26"/>
      <c r="DY224" s="26"/>
      <c r="DZ224" s="35"/>
      <c r="EA224" s="25"/>
      <c r="EB224" s="26"/>
      <c r="EC224" s="26"/>
      <c r="ED224" s="35"/>
      <c r="EE224" s="25"/>
      <c r="EF224" s="26"/>
      <c r="EG224" s="26"/>
      <c r="EH224" s="35"/>
      <c r="EI224" s="25"/>
      <c r="EJ224" s="26"/>
      <c r="EK224" s="26"/>
      <c r="EL224" s="35"/>
      <c r="EM224" s="25"/>
      <c r="EN224" s="26"/>
      <c r="EO224" s="26"/>
      <c r="EP224" s="35"/>
      <c r="EQ224" s="25"/>
      <c r="ER224" s="26"/>
      <c r="ES224" s="26"/>
      <c r="ET224" s="35"/>
      <c r="EU224" s="25"/>
      <c r="EV224" s="26"/>
      <c r="EW224" s="26"/>
      <c r="EX224" s="35"/>
      <c r="EY224" s="25"/>
      <c r="EZ224" s="26"/>
      <c r="FA224" s="26"/>
      <c r="FB224" s="35"/>
      <c r="FC224" s="25"/>
      <c r="FD224" s="26"/>
      <c r="FE224" s="26"/>
      <c r="FF224" s="35"/>
      <c r="FG224" s="25"/>
      <c r="FH224" s="26"/>
      <c r="FI224" s="26"/>
      <c r="FJ224" s="35"/>
      <c r="FK224" s="25"/>
      <c r="FL224" s="26"/>
      <c r="FM224" s="26"/>
      <c r="FN224" s="35"/>
      <c r="FO224" s="25"/>
      <c r="FP224" s="26"/>
      <c r="FQ224" s="26"/>
      <c r="FR224" s="35"/>
      <c r="FS224" s="25"/>
      <c r="FT224" s="26"/>
      <c r="FU224" s="26"/>
      <c r="FV224" s="35"/>
      <c r="FW224" s="25"/>
      <c r="FX224" s="26"/>
      <c r="FY224" s="26"/>
      <c r="FZ224" s="35"/>
      <c r="GA224" s="25"/>
      <c r="GB224" s="26"/>
      <c r="GC224" s="26"/>
      <c r="GD224" s="35"/>
      <c r="GE224" s="25"/>
      <c r="GF224" s="26"/>
      <c r="GG224" s="26"/>
      <c r="GH224" s="35"/>
      <c r="GI224" s="25"/>
      <c r="GJ224" s="26"/>
      <c r="GK224" s="26"/>
      <c r="GL224" s="35"/>
      <c r="GM224" s="25"/>
      <c r="GN224" s="26"/>
      <c r="GO224" s="26"/>
      <c r="GP224" s="35"/>
      <c r="GQ224" s="25"/>
      <c r="GR224" s="26"/>
      <c r="GS224" s="26"/>
      <c r="GT224" s="35"/>
      <c r="GU224" s="25"/>
      <c r="GV224" s="26"/>
      <c r="GW224" s="26"/>
      <c r="GX224" s="35"/>
      <c r="GY224" s="25"/>
      <c r="GZ224" s="26"/>
      <c r="HA224" s="26"/>
      <c r="HB224" s="35"/>
      <c r="HC224" s="25"/>
      <c r="HD224" s="26"/>
      <c r="HE224" s="26"/>
      <c r="HF224" s="35"/>
      <c r="HG224" s="25"/>
      <c r="HH224" s="26"/>
      <c r="HI224" s="26"/>
      <c r="HJ224" s="35"/>
      <c r="HK224" s="25"/>
      <c r="HL224" s="26"/>
      <c r="HM224" s="26"/>
      <c r="HN224" s="35"/>
      <c r="HO224" s="25"/>
      <c r="HP224" s="26"/>
      <c r="HQ224" s="26"/>
      <c r="HR224" s="35"/>
      <c r="HS224" s="25"/>
      <c r="HT224" s="26"/>
      <c r="HU224" s="26"/>
      <c r="HV224" s="35"/>
      <c r="HW224" s="25"/>
      <c r="HX224" s="26"/>
      <c r="HY224" s="26"/>
      <c r="HZ224" s="35"/>
      <c r="IA224" s="25"/>
      <c r="IB224" s="26"/>
      <c r="IC224" s="26"/>
      <c r="ID224" s="35"/>
      <c r="IE224" s="25"/>
      <c r="IF224" s="26"/>
      <c r="IG224" s="26"/>
      <c r="IH224" s="35"/>
      <c r="II224" s="25"/>
      <c r="IJ224" s="26"/>
      <c r="IK224" s="26"/>
      <c r="IL224" s="35"/>
      <c r="IM224" s="25"/>
      <c r="IN224" s="26"/>
      <c r="IO224" s="26"/>
      <c r="IP224" s="35"/>
      <c r="IQ224" s="25"/>
      <c r="IR224" s="26"/>
      <c r="IS224" s="26"/>
      <c r="IT224" s="35"/>
      <c r="IU224" s="25"/>
      <c r="IV224" s="26"/>
    </row>
    <row r="225" spans="2:256" ht="30" customHeight="1" x14ac:dyDescent="0.25">
      <c r="B225" s="14">
        <v>33603</v>
      </c>
      <c r="C225" s="157">
        <v>472000.21</v>
      </c>
      <c r="D225" s="103" t="s">
        <v>335</v>
      </c>
      <c r="E225" s="146">
        <v>350000</v>
      </c>
      <c r="F225" s="105"/>
      <c r="G225" s="126">
        <v>724358</v>
      </c>
      <c r="H225" s="146">
        <v>380000</v>
      </c>
      <c r="I225" s="104">
        <f t="shared" si="75"/>
        <v>1.3333333333333333</v>
      </c>
      <c r="J225" s="176"/>
      <c r="K225" s="107">
        <v>150000</v>
      </c>
      <c r="L225" s="108">
        <v>288000</v>
      </c>
      <c r="M225" s="107">
        <v>74793</v>
      </c>
      <c r="N225" s="108"/>
      <c r="O225" s="109">
        <v>100000</v>
      </c>
      <c r="P225" s="109">
        <v>32603</v>
      </c>
      <c r="Q225" s="109">
        <f>P225/8*4</f>
        <v>16301.5</v>
      </c>
      <c r="R225" s="107">
        <v>80000</v>
      </c>
      <c r="S225" s="107">
        <v>53000</v>
      </c>
      <c r="T225" s="107">
        <f>Q225+P225</f>
        <v>48904.5</v>
      </c>
      <c r="U225" s="107">
        <f>S225</f>
        <v>53000</v>
      </c>
      <c r="V225" s="107">
        <v>19999</v>
      </c>
      <c r="W225" s="107">
        <f>V225*2</f>
        <v>39998</v>
      </c>
      <c r="X225" s="110">
        <f>U225</f>
        <v>53000</v>
      </c>
      <c r="Y225" s="107">
        <v>28496</v>
      </c>
      <c r="Z225" s="107">
        <f>Y225*12/10</f>
        <v>34195.199999999997</v>
      </c>
      <c r="AA225" s="110">
        <v>48000</v>
      </c>
      <c r="AB225" s="110">
        <v>13673</v>
      </c>
      <c r="AC225" s="110">
        <v>16000</v>
      </c>
      <c r="AD225" s="108">
        <v>13300</v>
      </c>
      <c r="AE225" s="107">
        <v>10000</v>
      </c>
      <c r="AF225" s="107">
        <v>10000</v>
      </c>
      <c r="AG225" s="26"/>
      <c r="AH225" s="26"/>
      <c r="AI225" s="35"/>
      <c r="AJ225" s="25"/>
      <c r="AK225" s="26"/>
      <c r="AL225" s="26"/>
      <c r="AM225" s="35"/>
      <c r="AN225" s="25"/>
      <c r="AO225" s="26"/>
      <c r="AP225" s="35"/>
      <c r="AQ225" s="25"/>
      <c r="AR225" s="26"/>
      <c r="AS225" s="26"/>
      <c r="AT225" s="35"/>
      <c r="AU225" s="25"/>
      <c r="AV225" s="26"/>
      <c r="AW225" s="35"/>
      <c r="AX225" s="26"/>
      <c r="AY225" s="26"/>
      <c r="AZ225" s="35"/>
      <c r="BA225" s="26"/>
      <c r="BB225" s="35"/>
      <c r="BC225" s="25"/>
      <c r="BD225" s="26"/>
      <c r="BE225" s="26"/>
      <c r="BF225" s="35"/>
      <c r="BG225" s="25"/>
      <c r="BH225" s="26"/>
      <c r="BI225" s="26"/>
      <c r="BJ225" s="35"/>
      <c r="BK225" s="25"/>
      <c r="BL225" s="26"/>
      <c r="BM225" s="26"/>
      <c r="BN225" s="35"/>
      <c r="BO225" s="25"/>
      <c r="BP225" s="26"/>
      <c r="BQ225" s="26"/>
      <c r="BR225" s="35"/>
      <c r="BS225" s="25"/>
      <c r="BT225" s="26"/>
      <c r="BU225" s="26"/>
      <c r="BV225" s="35"/>
      <c r="BW225" s="25"/>
      <c r="BX225" s="26"/>
      <c r="BY225" s="26"/>
      <c r="BZ225" s="35"/>
      <c r="CA225" s="25"/>
      <c r="CB225" s="26"/>
      <c r="CC225" s="26"/>
      <c r="CD225" s="35"/>
      <c r="CE225" s="25"/>
      <c r="CF225" s="26"/>
      <c r="CG225" s="26"/>
      <c r="CH225" s="35"/>
      <c r="CI225" s="25"/>
      <c r="CJ225" s="26"/>
      <c r="CK225" s="26"/>
      <c r="CL225" s="35"/>
      <c r="CM225" s="25"/>
      <c r="CN225" s="26"/>
      <c r="CO225" s="26"/>
      <c r="CP225" s="35"/>
      <c r="CQ225" s="25"/>
      <c r="CR225" s="26"/>
      <c r="CS225" s="26"/>
      <c r="CT225" s="35"/>
      <c r="CU225" s="25"/>
      <c r="CV225" s="26"/>
      <c r="CW225" s="26"/>
      <c r="CX225" s="35"/>
      <c r="CY225" s="25"/>
      <c r="CZ225" s="26"/>
      <c r="DA225" s="26"/>
      <c r="DB225" s="35"/>
      <c r="DC225" s="25"/>
      <c r="DD225" s="26"/>
      <c r="DE225" s="26"/>
      <c r="DF225" s="35"/>
      <c r="DG225" s="25"/>
      <c r="DH225" s="26"/>
      <c r="DI225" s="26"/>
      <c r="DJ225" s="35"/>
      <c r="DK225" s="25"/>
      <c r="DL225" s="26"/>
      <c r="DM225" s="26"/>
      <c r="DN225" s="35"/>
      <c r="DO225" s="25"/>
      <c r="DP225" s="26"/>
      <c r="DQ225" s="26"/>
      <c r="DR225" s="35"/>
      <c r="DS225" s="25"/>
      <c r="DT225" s="26"/>
      <c r="DU225" s="26"/>
      <c r="DV225" s="35"/>
      <c r="DW225" s="25"/>
      <c r="DX225" s="26"/>
      <c r="DY225" s="26"/>
      <c r="DZ225" s="35"/>
      <c r="EA225" s="25"/>
      <c r="EB225" s="26"/>
      <c r="EC225" s="26"/>
      <c r="ED225" s="35"/>
      <c r="EE225" s="25"/>
      <c r="EF225" s="26"/>
      <c r="EG225" s="26"/>
      <c r="EH225" s="35"/>
      <c r="EI225" s="25"/>
      <c r="EJ225" s="26"/>
      <c r="EK225" s="26"/>
      <c r="EL225" s="35"/>
      <c r="EM225" s="25"/>
      <c r="EN225" s="26"/>
      <c r="EO225" s="26"/>
      <c r="EP225" s="35"/>
      <c r="EQ225" s="25"/>
      <c r="ER225" s="26"/>
      <c r="ES225" s="26"/>
      <c r="ET225" s="35"/>
      <c r="EU225" s="25"/>
      <c r="EV225" s="26"/>
      <c r="EW225" s="26"/>
      <c r="EX225" s="35"/>
      <c r="EY225" s="25"/>
      <c r="EZ225" s="26"/>
      <c r="FA225" s="26"/>
      <c r="FB225" s="35"/>
      <c r="FC225" s="25"/>
      <c r="FD225" s="26"/>
      <c r="FE225" s="26"/>
      <c r="FF225" s="35"/>
      <c r="FG225" s="25"/>
      <c r="FH225" s="26"/>
      <c r="FI225" s="26"/>
      <c r="FJ225" s="35"/>
      <c r="FK225" s="25"/>
      <c r="FL225" s="26"/>
      <c r="FM225" s="26"/>
      <c r="FN225" s="35"/>
      <c r="FO225" s="25"/>
      <c r="FP225" s="26"/>
      <c r="FQ225" s="26"/>
      <c r="FR225" s="35"/>
      <c r="FS225" s="25"/>
      <c r="FT225" s="26"/>
      <c r="FU225" s="26"/>
      <c r="FV225" s="35"/>
      <c r="FW225" s="25"/>
      <c r="FX225" s="26"/>
      <c r="FY225" s="26"/>
      <c r="FZ225" s="35"/>
      <c r="GA225" s="25"/>
      <c r="GB225" s="26"/>
      <c r="GC225" s="26"/>
      <c r="GD225" s="35"/>
      <c r="GE225" s="25"/>
      <c r="GF225" s="26"/>
      <c r="GG225" s="26"/>
      <c r="GH225" s="35"/>
      <c r="GI225" s="25"/>
      <c r="GJ225" s="26"/>
      <c r="GK225" s="26"/>
      <c r="GL225" s="35"/>
      <c r="GM225" s="25"/>
      <c r="GN225" s="26"/>
      <c r="GO225" s="26"/>
      <c r="GP225" s="35"/>
      <c r="GQ225" s="25"/>
      <c r="GR225" s="26"/>
      <c r="GS225" s="26"/>
      <c r="GT225" s="35"/>
      <c r="GU225" s="25"/>
      <c r="GV225" s="26"/>
      <c r="GW225" s="26"/>
      <c r="GX225" s="35"/>
      <c r="GY225" s="25"/>
      <c r="GZ225" s="26"/>
      <c r="HA225" s="26"/>
      <c r="HB225" s="35"/>
      <c r="HC225" s="25"/>
      <c r="HD225" s="26"/>
      <c r="HE225" s="26"/>
      <c r="HF225" s="35"/>
      <c r="HG225" s="25"/>
      <c r="HH225" s="26"/>
      <c r="HI225" s="26"/>
      <c r="HJ225" s="35"/>
      <c r="HK225" s="25"/>
      <c r="HL225" s="26"/>
      <c r="HM225" s="26"/>
      <c r="HN225" s="35"/>
      <c r="HO225" s="25"/>
      <c r="HP225" s="26"/>
      <c r="HQ225" s="26"/>
      <c r="HR225" s="35"/>
      <c r="HS225" s="25"/>
      <c r="HT225" s="26"/>
      <c r="HU225" s="26"/>
      <c r="HV225" s="35"/>
      <c r="HW225" s="25"/>
      <c r="HX225" s="26"/>
      <c r="HY225" s="26"/>
      <c r="HZ225" s="35"/>
      <c r="IA225" s="25"/>
      <c r="IB225" s="26"/>
      <c r="IC225" s="26"/>
      <c r="ID225" s="35"/>
      <c r="IE225" s="25"/>
      <c r="IF225" s="26"/>
      <c r="IG225" s="26"/>
      <c r="IH225" s="35"/>
      <c r="II225" s="25"/>
      <c r="IJ225" s="26"/>
      <c r="IK225" s="26"/>
      <c r="IL225" s="35"/>
      <c r="IM225" s="25"/>
      <c r="IN225" s="26"/>
      <c r="IO225" s="26"/>
      <c r="IP225" s="35"/>
      <c r="IQ225" s="25"/>
      <c r="IR225" s="26"/>
      <c r="IS225" s="26"/>
      <c r="IT225" s="35"/>
      <c r="IU225" s="25"/>
      <c r="IV225" s="26"/>
    </row>
    <row r="226" spans="2:256" ht="30" customHeight="1" x14ac:dyDescent="0.25">
      <c r="B226" s="14">
        <v>1477477</v>
      </c>
      <c r="C226" s="157">
        <v>472000.22</v>
      </c>
      <c r="D226" s="103" t="s">
        <v>381</v>
      </c>
      <c r="E226" s="104">
        <v>1700000</v>
      </c>
      <c r="F226" s="105"/>
      <c r="G226" s="126">
        <v>4339682</v>
      </c>
      <c r="H226" s="104">
        <v>1050000</v>
      </c>
      <c r="I226" s="104">
        <f t="shared" si="75"/>
        <v>1.3333333333333333</v>
      </c>
      <c r="J226" s="176"/>
      <c r="K226" s="107">
        <f>(7632766-5069000)*1.15</f>
        <v>2948330.9</v>
      </c>
      <c r="L226" s="108">
        <v>1950000</v>
      </c>
      <c r="M226" s="107">
        <v>1937307</v>
      </c>
      <c r="N226" s="108"/>
      <c r="O226" s="109">
        <v>2948000</v>
      </c>
      <c r="P226" s="109">
        <v>1126968</v>
      </c>
      <c r="Q226" s="109">
        <f>P226/8*4</f>
        <v>563484</v>
      </c>
      <c r="R226" s="107">
        <v>3000000</v>
      </c>
      <c r="S226" s="107">
        <v>2200000</v>
      </c>
      <c r="T226" s="107">
        <f>Q226+P226</f>
        <v>1690452</v>
      </c>
      <c r="U226" s="107">
        <f>S226</f>
        <v>2200000</v>
      </c>
      <c r="V226" s="107">
        <v>785741</v>
      </c>
      <c r="W226" s="107">
        <f>V226*2+200000</f>
        <v>1771482</v>
      </c>
      <c r="X226" s="110">
        <v>1800000</v>
      </c>
      <c r="Y226" s="107">
        <v>1182539</v>
      </c>
      <c r="Z226" s="107">
        <f>Y226*12/10</f>
        <v>1419046.8</v>
      </c>
      <c r="AA226" s="110">
        <v>1600000</v>
      </c>
      <c r="AB226" s="110">
        <v>801177</v>
      </c>
      <c r="AC226" s="110">
        <v>960000</v>
      </c>
      <c r="AD226" s="108">
        <v>900000</v>
      </c>
      <c r="AE226" s="107">
        <v>510100</v>
      </c>
      <c r="AF226" s="107"/>
      <c r="AG226" s="26"/>
      <c r="AH226" s="26"/>
      <c r="AI226" s="35"/>
      <c r="AJ226" s="25"/>
      <c r="AK226" s="26"/>
      <c r="AL226" s="26"/>
      <c r="AM226" s="35"/>
      <c r="AN226" s="25"/>
      <c r="AO226" s="26"/>
      <c r="AP226" s="35"/>
      <c r="AQ226" s="25"/>
      <c r="AR226" s="26"/>
      <c r="AS226" s="26"/>
      <c r="AT226" s="35"/>
      <c r="AU226" s="25"/>
      <c r="AV226" s="26"/>
      <c r="AW226" s="35"/>
      <c r="AX226" s="26"/>
      <c r="AY226" s="26"/>
      <c r="AZ226" s="35"/>
      <c r="BA226" s="26"/>
      <c r="BB226" s="35"/>
      <c r="BC226" s="25"/>
      <c r="BD226" s="26"/>
      <c r="BE226" s="26"/>
      <c r="BF226" s="35"/>
      <c r="BG226" s="25"/>
      <c r="BH226" s="26"/>
      <c r="BI226" s="26"/>
      <c r="BJ226" s="35"/>
      <c r="BK226" s="25"/>
      <c r="BL226" s="26"/>
      <c r="BM226" s="26"/>
      <c r="BN226" s="35"/>
      <c r="BO226" s="25"/>
      <c r="BP226" s="26"/>
      <c r="BQ226" s="26"/>
      <c r="BR226" s="35"/>
      <c r="BS226" s="25"/>
      <c r="BT226" s="26"/>
      <c r="BU226" s="26"/>
      <c r="BV226" s="35"/>
      <c r="BW226" s="25"/>
      <c r="BX226" s="26"/>
      <c r="BY226" s="26"/>
      <c r="BZ226" s="35"/>
      <c r="CA226" s="25"/>
      <c r="CB226" s="26"/>
      <c r="CC226" s="26"/>
      <c r="CD226" s="35"/>
      <c r="CE226" s="25"/>
      <c r="CF226" s="26"/>
      <c r="CG226" s="26"/>
      <c r="CH226" s="35"/>
      <c r="CI226" s="25"/>
      <c r="CJ226" s="26"/>
      <c r="CK226" s="26"/>
      <c r="CL226" s="35"/>
      <c r="CM226" s="25"/>
      <c r="CN226" s="26"/>
      <c r="CO226" s="26"/>
      <c r="CP226" s="35"/>
      <c r="CQ226" s="25"/>
      <c r="CR226" s="26"/>
      <c r="CS226" s="26"/>
      <c r="CT226" s="35"/>
      <c r="CU226" s="25"/>
      <c r="CV226" s="26"/>
      <c r="CW226" s="26"/>
      <c r="CX226" s="35"/>
      <c r="CY226" s="25"/>
      <c r="CZ226" s="26"/>
      <c r="DA226" s="26"/>
      <c r="DB226" s="35"/>
      <c r="DC226" s="25"/>
      <c r="DD226" s="26"/>
      <c r="DE226" s="26"/>
      <c r="DF226" s="35"/>
      <c r="DG226" s="25"/>
      <c r="DH226" s="26"/>
      <c r="DI226" s="26"/>
      <c r="DJ226" s="35"/>
      <c r="DK226" s="25"/>
      <c r="DL226" s="26"/>
      <c r="DM226" s="26"/>
      <c r="DN226" s="35"/>
      <c r="DO226" s="25"/>
      <c r="DP226" s="26"/>
      <c r="DQ226" s="26"/>
      <c r="DR226" s="35"/>
      <c r="DS226" s="25"/>
      <c r="DT226" s="26"/>
      <c r="DU226" s="26"/>
      <c r="DV226" s="35"/>
      <c r="DW226" s="25"/>
      <c r="DX226" s="26"/>
      <c r="DY226" s="26"/>
      <c r="DZ226" s="35"/>
      <c r="EA226" s="25"/>
      <c r="EB226" s="26"/>
      <c r="EC226" s="26"/>
      <c r="ED226" s="35"/>
      <c r="EE226" s="25"/>
      <c r="EF226" s="26"/>
      <c r="EG226" s="26"/>
      <c r="EH226" s="35"/>
      <c r="EI226" s="25"/>
      <c r="EJ226" s="26"/>
      <c r="EK226" s="26"/>
      <c r="EL226" s="35"/>
      <c r="EM226" s="25"/>
      <c r="EN226" s="26"/>
      <c r="EO226" s="26"/>
      <c r="EP226" s="35"/>
      <c r="EQ226" s="25"/>
      <c r="ER226" s="26"/>
      <c r="ES226" s="26"/>
      <c r="ET226" s="35"/>
      <c r="EU226" s="25"/>
      <c r="EV226" s="26"/>
      <c r="EW226" s="26"/>
      <c r="EX226" s="35"/>
      <c r="EY226" s="25"/>
      <c r="EZ226" s="26"/>
      <c r="FA226" s="26"/>
      <c r="FB226" s="35"/>
      <c r="FC226" s="25"/>
      <c r="FD226" s="26"/>
      <c r="FE226" s="26"/>
      <c r="FF226" s="35"/>
      <c r="FG226" s="25"/>
      <c r="FH226" s="26"/>
      <c r="FI226" s="26"/>
      <c r="FJ226" s="35"/>
      <c r="FK226" s="25"/>
      <c r="FL226" s="26"/>
      <c r="FM226" s="26"/>
      <c r="FN226" s="35"/>
      <c r="FO226" s="25"/>
      <c r="FP226" s="26"/>
      <c r="FQ226" s="26"/>
      <c r="FR226" s="35"/>
      <c r="FS226" s="25"/>
      <c r="FT226" s="26"/>
      <c r="FU226" s="26"/>
      <c r="FV226" s="35"/>
      <c r="FW226" s="25"/>
      <c r="FX226" s="26"/>
      <c r="FY226" s="26"/>
      <c r="FZ226" s="35"/>
      <c r="GA226" s="25"/>
      <c r="GB226" s="26"/>
      <c r="GC226" s="26"/>
      <c r="GD226" s="35"/>
      <c r="GE226" s="25"/>
      <c r="GF226" s="26"/>
      <c r="GG226" s="26"/>
      <c r="GH226" s="35"/>
      <c r="GI226" s="25"/>
      <c r="GJ226" s="26"/>
      <c r="GK226" s="26"/>
      <c r="GL226" s="35"/>
      <c r="GM226" s="25"/>
      <c r="GN226" s="26"/>
      <c r="GO226" s="26"/>
      <c r="GP226" s="35"/>
      <c r="GQ226" s="25"/>
      <c r="GR226" s="26"/>
      <c r="GS226" s="26"/>
      <c r="GT226" s="35"/>
      <c r="GU226" s="25"/>
      <c r="GV226" s="26"/>
      <c r="GW226" s="26"/>
      <c r="GX226" s="35"/>
      <c r="GY226" s="25"/>
      <c r="GZ226" s="26"/>
      <c r="HA226" s="26"/>
      <c r="HB226" s="35"/>
      <c r="HC226" s="25"/>
      <c r="HD226" s="26"/>
      <c r="HE226" s="26"/>
      <c r="HF226" s="35"/>
      <c r="HG226" s="25"/>
      <c r="HH226" s="26"/>
      <c r="HI226" s="26"/>
      <c r="HJ226" s="35"/>
      <c r="HK226" s="25"/>
      <c r="HL226" s="26"/>
      <c r="HM226" s="26"/>
      <c r="HN226" s="35"/>
      <c r="HO226" s="25"/>
      <c r="HP226" s="26"/>
      <c r="HQ226" s="26"/>
      <c r="HR226" s="35"/>
      <c r="HS226" s="25"/>
      <c r="HT226" s="26"/>
      <c r="HU226" s="26"/>
      <c r="HV226" s="35"/>
      <c r="HW226" s="25"/>
      <c r="HX226" s="26"/>
      <c r="HY226" s="26"/>
      <c r="HZ226" s="35"/>
      <c r="IA226" s="25"/>
      <c r="IB226" s="26"/>
      <c r="IC226" s="26"/>
      <c r="ID226" s="35"/>
      <c r="IE226" s="25"/>
      <c r="IF226" s="26"/>
      <c r="IG226" s="26"/>
      <c r="IH226" s="35"/>
      <c r="II226" s="25"/>
      <c r="IJ226" s="26"/>
      <c r="IK226" s="26"/>
      <c r="IL226" s="35"/>
      <c r="IM226" s="25"/>
      <c r="IN226" s="26"/>
      <c r="IO226" s="26"/>
      <c r="IP226" s="35"/>
      <c r="IQ226" s="25"/>
      <c r="IR226" s="26"/>
      <c r="IS226" s="26"/>
      <c r="IT226" s="35"/>
      <c r="IU226" s="25"/>
      <c r="IV226" s="26"/>
    </row>
    <row r="227" spans="2:256" ht="30" customHeight="1" x14ac:dyDescent="0.25">
      <c r="B227" s="14"/>
      <c r="C227" s="113" t="s">
        <v>336</v>
      </c>
      <c r="D227" s="139" t="s">
        <v>382</v>
      </c>
      <c r="E227" s="115">
        <f>SUM(E225:E226)</f>
        <v>2050000</v>
      </c>
      <c r="F227" s="115">
        <f>SUM(F225:F226)</f>
        <v>0</v>
      </c>
      <c r="G227" s="115">
        <f>SUM(G225:G226)</f>
        <v>5064040</v>
      </c>
      <c r="H227" s="115">
        <f>SUM(H225:H226)</f>
        <v>1430000</v>
      </c>
      <c r="I227" s="104">
        <f t="shared" si="75"/>
        <v>1.3333333333333333</v>
      </c>
      <c r="J227" s="176"/>
      <c r="K227" s="117">
        <f t="shared" ref="K227:X227" si="84">SUM(K225:K226)</f>
        <v>3098330.9</v>
      </c>
      <c r="L227" s="117">
        <f t="shared" si="84"/>
        <v>2238000</v>
      </c>
      <c r="M227" s="117">
        <f t="shared" si="84"/>
        <v>2012100</v>
      </c>
      <c r="N227" s="117">
        <f t="shared" si="84"/>
        <v>0</v>
      </c>
      <c r="O227" s="118">
        <f t="shared" si="84"/>
        <v>3048000</v>
      </c>
      <c r="P227" s="118">
        <f t="shared" si="84"/>
        <v>1159571</v>
      </c>
      <c r="Q227" s="118">
        <f t="shared" si="84"/>
        <v>579785.5</v>
      </c>
      <c r="R227" s="117">
        <f t="shared" si="84"/>
        <v>3080000</v>
      </c>
      <c r="S227" s="117">
        <f t="shared" si="84"/>
        <v>2253000</v>
      </c>
      <c r="T227" s="117">
        <f t="shared" si="84"/>
        <v>1739356.5</v>
      </c>
      <c r="U227" s="117">
        <f t="shared" si="84"/>
        <v>2253000</v>
      </c>
      <c r="V227" s="117">
        <f t="shared" si="84"/>
        <v>805740</v>
      </c>
      <c r="W227" s="117">
        <f t="shared" si="84"/>
        <v>1811480</v>
      </c>
      <c r="X227" s="117">
        <f t="shared" si="84"/>
        <v>1853000</v>
      </c>
      <c r="Y227" s="117">
        <f t="shared" ref="Y227:AF227" si="85">SUM(Y225:Y226)</f>
        <v>1211035</v>
      </c>
      <c r="Z227" s="117">
        <f t="shared" si="85"/>
        <v>1453242</v>
      </c>
      <c r="AA227" s="117">
        <f t="shared" si="85"/>
        <v>1648000</v>
      </c>
      <c r="AB227" s="117">
        <f t="shared" si="85"/>
        <v>814850</v>
      </c>
      <c r="AC227" s="117">
        <f t="shared" si="85"/>
        <v>976000</v>
      </c>
      <c r="AD227" s="117">
        <f t="shared" si="85"/>
        <v>913300</v>
      </c>
      <c r="AE227" s="117">
        <f t="shared" si="85"/>
        <v>520100</v>
      </c>
      <c r="AF227" s="117">
        <f t="shared" si="85"/>
        <v>10000</v>
      </c>
      <c r="AG227" s="26"/>
      <c r="AH227" s="26"/>
      <c r="AI227" s="35"/>
      <c r="AJ227" s="25"/>
      <c r="AK227" s="26"/>
      <c r="AL227" s="26"/>
      <c r="AM227" s="35"/>
      <c r="AN227" s="25"/>
      <c r="AO227" s="26"/>
      <c r="AP227" s="35"/>
      <c r="AQ227" s="25"/>
      <c r="AR227" s="26"/>
      <c r="AS227" s="26"/>
      <c r="AT227" s="35"/>
      <c r="AU227" s="25"/>
      <c r="AV227" s="26"/>
      <c r="AW227" s="35"/>
      <c r="AX227" s="26"/>
      <c r="AY227" s="26"/>
      <c r="AZ227" s="35"/>
      <c r="BA227" s="26"/>
      <c r="BB227" s="35"/>
      <c r="BC227" s="25"/>
      <c r="BD227" s="26"/>
      <c r="BE227" s="26"/>
      <c r="BF227" s="35"/>
      <c r="BG227" s="25"/>
      <c r="BH227" s="26"/>
      <c r="BI227" s="26"/>
      <c r="BJ227" s="35"/>
      <c r="BK227" s="25"/>
      <c r="BL227" s="26"/>
      <c r="BM227" s="26"/>
      <c r="BN227" s="35"/>
      <c r="BO227" s="25"/>
      <c r="BP227" s="26"/>
      <c r="BQ227" s="26"/>
      <c r="BR227" s="35"/>
      <c r="BS227" s="25"/>
      <c r="BT227" s="26"/>
      <c r="BU227" s="26"/>
      <c r="BV227" s="35"/>
      <c r="BW227" s="25"/>
      <c r="BX227" s="26"/>
      <c r="BY227" s="26"/>
      <c r="BZ227" s="35"/>
      <c r="CA227" s="25"/>
      <c r="CB227" s="26"/>
      <c r="CC227" s="26"/>
      <c r="CD227" s="35"/>
      <c r="CE227" s="25"/>
      <c r="CF227" s="26"/>
      <c r="CG227" s="26"/>
      <c r="CH227" s="35"/>
      <c r="CI227" s="25"/>
      <c r="CJ227" s="26"/>
      <c r="CK227" s="26"/>
      <c r="CL227" s="35"/>
      <c r="CM227" s="25"/>
      <c r="CN227" s="26"/>
      <c r="CO227" s="26"/>
      <c r="CP227" s="35"/>
      <c r="CQ227" s="25"/>
      <c r="CR227" s="26"/>
      <c r="CS227" s="26"/>
      <c r="CT227" s="35"/>
      <c r="CU227" s="25"/>
      <c r="CV227" s="26"/>
      <c r="CW227" s="26"/>
      <c r="CX227" s="35"/>
      <c r="CY227" s="25"/>
      <c r="CZ227" s="26"/>
      <c r="DA227" s="26"/>
      <c r="DB227" s="35"/>
      <c r="DC227" s="25"/>
      <c r="DD227" s="26"/>
      <c r="DE227" s="26"/>
      <c r="DF227" s="35"/>
      <c r="DG227" s="25"/>
      <c r="DH227" s="26"/>
      <c r="DI227" s="26"/>
      <c r="DJ227" s="35"/>
      <c r="DK227" s="25"/>
      <c r="DL227" s="26"/>
      <c r="DM227" s="26"/>
      <c r="DN227" s="35"/>
      <c r="DO227" s="25"/>
      <c r="DP227" s="26"/>
      <c r="DQ227" s="26"/>
      <c r="DR227" s="35"/>
      <c r="DS227" s="25"/>
      <c r="DT227" s="26"/>
      <c r="DU227" s="26"/>
      <c r="DV227" s="35"/>
      <c r="DW227" s="25"/>
      <c r="DX227" s="26"/>
      <c r="DY227" s="26"/>
      <c r="DZ227" s="35"/>
      <c r="EA227" s="25"/>
      <c r="EB227" s="26"/>
      <c r="EC227" s="26"/>
      <c r="ED227" s="35"/>
      <c r="EE227" s="25"/>
      <c r="EF227" s="26"/>
      <c r="EG227" s="26"/>
      <c r="EH227" s="35"/>
      <c r="EI227" s="25"/>
      <c r="EJ227" s="26"/>
      <c r="EK227" s="26"/>
      <c r="EL227" s="35"/>
      <c r="EM227" s="25"/>
      <c r="EN227" s="26"/>
      <c r="EO227" s="26"/>
      <c r="EP227" s="35"/>
      <c r="EQ227" s="25"/>
      <c r="ER227" s="26"/>
      <c r="ES227" s="26"/>
      <c r="ET227" s="35"/>
      <c r="EU227" s="25"/>
      <c r="EV227" s="26"/>
      <c r="EW227" s="26"/>
      <c r="EX227" s="35"/>
      <c r="EY227" s="25"/>
      <c r="EZ227" s="26"/>
      <c r="FA227" s="26"/>
      <c r="FB227" s="35"/>
      <c r="FC227" s="25"/>
      <c r="FD227" s="26"/>
      <c r="FE227" s="26"/>
      <c r="FF227" s="35"/>
      <c r="FG227" s="25"/>
      <c r="FH227" s="26"/>
      <c r="FI227" s="26"/>
      <c r="FJ227" s="35"/>
      <c r="FK227" s="25"/>
      <c r="FL227" s="26"/>
      <c r="FM227" s="26"/>
      <c r="FN227" s="35"/>
      <c r="FO227" s="25"/>
      <c r="FP227" s="26"/>
      <c r="FQ227" s="26"/>
      <c r="FR227" s="35"/>
      <c r="FS227" s="25"/>
      <c r="FT227" s="26"/>
      <c r="FU227" s="26"/>
      <c r="FV227" s="35"/>
      <c r="FW227" s="25"/>
      <c r="FX227" s="26"/>
      <c r="FY227" s="26"/>
      <c r="FZ227" s="35"/>
      <c r="GA227" s="25"/>
      <c r="GB227" s="26"/>
      <c r="GC227" s="26"/>
      <c r="GD227" s="35"/>
      <c r="GE227" s="25"/>
      <c r="GF227" s="26"/>
      <c r="GG227" s="26"/>
      <c r="GH227" s="35"/>
      <c r="GI227" s="25"/>
      <c r="GJ227" s="26"/>
      <c r="GK227" s="26"/>
      <c r="GL227" s="35"/>
      <c r="GM227" s="25"/>
      <c r="GN227" s="26"/>
      <c r="GO227" s="26"/>
      <c r="GP227" s="35"/>
      <c r="GQ227" s="25"/>
      <c r="GR227" s="26"/>
      <c r="GS227" s="26"/>
      <c r="GT227" s="35"/>
      <c r="GU227" s="25"/>
      <c r="GV227" s="26"/>
      <c r="GW227" s="26"/>
      <c r="GX227" s="35"/>
      <c r="GY227" s="25"/>
      <c r="GZ227" s="26"/>
      <c r="HA227" s="26"/>
      <c r="HB227" s="35"/>
      <c r="HC227" s="25"/>
      <c r="HD227" s="26"/>
      <c r="HE227" s="26"/>
      <c r="HF227" s="35"/>
      <c r="HG227" s="25"/>
      <c r="HH227" s="26"/>
      <c r="HI227" s="26"/>
      <c r="HJ227" s="35"/>
      <c r="HK227" s="25"/>
      <c r="HL227" s="26"/>
      <c r="HM227" s="26"/>
      <c r="HN227" s="35"/>
      <c r="HO227" s="25"/>
      <c r="HP227" s="26"/>
      <c r="HQ227" s="26"/>
      <c r="HR227" s="35"/>
      <c r="HS227" s="25"/>
      <c r="HT227" s="26"/>
      <c r="HU227" s="26"/>
      <c r="HV227" s="35"/>
      <c r="HW227" s="25"/>
      <c r="HX227" s="26"/>
      <c r="HY227" s="26"/>
      <c r="HZ227" s="35"/>
      <c r="IA227" s="25"/>
      <c r="IB227" s="26"/>
      <c r="IC227" s="26"/>
      <c r="ID227" s="35"/>
      <c r="IE227" s="25"/>
      <c r="IF227" s="26"/>
      <c r="IG227" s="26"/>
      <c r="IH227" s="35"/>
      <c r="II227" s="25"/>
      <c r="IJ227" s="26"/>
      <c r="IK227" s="26"/>
      <c r="IL227" s="35"/>
      <c r="IM227" s="25"/>
      <c r="IN227" s="26"/>
      <c r="IO227" s="26"/>
      <c r="IP227" s="35"/>
      <c r="IQ227" s="25"/>
      <c r="IR227" s="26"/>
      <c r="IS227" s="26"/>
      <c r="IT227" s="35"/>
      <c r="IU227" s="25"/>
      <c r="IV227" s="26"/>
    </row>
    <row r="228" spans="2:256" ht="30" customHeight="1" x14ac:dyDescent="0.25">
      <c r="B228" s="14"/>
      <c r="C228" s="129"/>
      <c r="D228" s="130"/>
      <c r="E228" s="104"/>
      <c r="F228" s="105"/>
      <c r="G228" s="104"/>
      <c r="H228" s="104"/>
      <c r="I228" s="104">
        <f t="shared" si="75"/>
        <v>1.3333333333333333</v>
      </c>
      <c r="J228" s="176"/>
      <c r="K228" s="159"/>
      <c r="L228" s="110"/>
      <c r="M228" s="159"/>
      <c r="N228" s="159"/>
      <c r="O228" s="109"/>
      <c r="P228" s="109"/>
      <c r="Q228" s="109"/>
      <c r="R228" s="159"/>
      <c r="S228" s="159"/>
      <c r="T228" s="159"/>
      <c r="U228" s="107">
        <f>S228-R228</f>
        <v>0</v>
      </c>
      <c r="V228" s="107"/>
      <c r="W228" s="107"/>
      <c r="X228" s="110"/>
      <c r="Y228" s="107"/>
      <c r="Z228" s="107">
        <f>Y228*12/10</f>
        <v>0</v>
      </c>
      <c r="AA228" s="110"/>
      <c r="AB228" s="110"/>
      <c r="AC228" s="110"/>
      <c r="AD228" s="110"/>
      <c r="AE228" s="159"/>
      <c r="AF228" s="110"/>
      <c r="AG228" s="26"/>
      <c r="AH228" s="26"/>
      <c r="AI228" s="35"/>
      <c r="AJ228" s="25"/>
      <c r="AK228" s="26"/>
      <c r="AL228" s="26"/>
      <c r="AM228" s="35"/>
      <c r="AN228" s="25"/>
      <c r="AO228" s="26"/>
      <c r="AP228" s="35"/>
      <c r="AQ228" s="25"/>
      <c r="AR228" s="26"/>
      <c r="AS228" s="26"/>
      <c r="AT228" s="35"/>
      <c r="AU228" s="25"/>
      <c r="AV228" s="26"/>
      <c r="AW228" s="35"/>
      <c r="AX228" s="26"/>
      <c r="AY228" s="26"/>
      <c r="AZ228" s="35"/>
      <c r="BA228" s="26"/>
      <c r="BB228" s="35"/>
      <c r="BC228" s="25"/>
      <c r="BD228" s="26"/>
      <c r="BE228" s="26"/>
      <c r="BF228" s="35"/>
      <c r="BG228" s="25"/>
      <c r="BH228" s="26"/>
      <c r="BI228" s="26"/>
      <c r="BJ228" s="35"/>
      <c r="BK228" s="25"/>
      <c r="BL228" s="26"/>
      <c r="BM228" s="26"/>
      <c r="BN228" s="35"/>
      <c r="BO228" s="25"/>
      <c r="BP228" s="26"/>
      <c r="BQ228" s="26"/>
      <c r="BR228" s="35"/>
      <c r="BS228" s="25"/>
      <c r="BT228" s="26"/>
      <c r="BU228" s="26"/>
      <c r="BV228" s="35"/>
      <c r="BW228" s="25"/>
      <c r="BX228" s="26"/>
      <c r="BY228" s="26"/>
      <c r="BZ228" s="35"/>
      <c r="CA228" s="25"/>
      <c r="CB228" s="26"/>
      <c r="CC228" s="26"/>
      <c r="CD228" s="35"/>
      <c r="CE228" s="25"/>
      <c r="CF228" s="26"/>
      <c r="CG228" s="26"/>
      <c r="CH228" s="35"/>
      <c r="CI228" s="25"/>
      <c r="CJ228" s="26"/>
      <c r="CK228" s="26"/>
      <c r="CL228" s="35"/>
      <c r="CM228" s="25"/>
      <c r="CN228" s="26"/>
      <c r="CO228" s="26"/>
      <c r="CP228" s="35"/>
      <c r="CQ228" s="25"/>
      <c r="CR228" s="26"/>
      <c r="CS228" s="26"/>
      <c r="CT228" s="35"/>
      <c r="CU228" s="25"/>
      <c r="CV228" s="26"/>
      <c r="CW228" s="26"/>
      <c r="CX228" s="35"/>
      <c r="CY228" s="25"/>
      <c r="CZ228" s="26"/>
      <c r="DA228" s="26"/>
      <c r="DB228" s="35"/>
      <c r="DC228" s="25"/>
      <c r="DD228" s="26"/>
      <c r="DE228" s="26"/>
      <c r="DF228" s="35"/>
      <c r="DG228" s="25"/>
      <c r="DH228" s="26"/>
      <c r="DI228" s="26"/>
      <c r="DJ228" s="35"/>
      <c r="DK228" s="25"/>
      <c r="DL228" s="26"/>
      <c r="DM228" s="26"/>
      <c r="DN228" s="35"/>
      <c r="DO228" s="25"/>
      <c r="DP228" s="26"/>
      <c r="DQ228" s="26"/>
      <c r="DR228" s="35"/>
      <c r="DS228" s="25"/>
      <c r="DT228" s="26"/>
      <c r="DU228" s="26"/>
      <c r="DV228" s="35"/>
      <c r="DW228" s="25"/>
      <c r="DX228" s="26"/>
      <c r="DY228" s="26"/>
      <c r="DZ228" s="35"/>
      <c r="EA228" s="25"/>
      <c r="EB228" s="26"/>
      <c r="EC228" s="26"/>
      <c r="ED228" s="35"/>
      <c r="EE228" s="25"/>
      <c r="EF228" s="26"/>
      <c r="EG228" s="26"/>
      <c r="EH228" s="35"/>
      <c r="EI228" s="25"/>
      <c r="EJ228" s="26"/>
      <c r="EK228" s="26"/>
      <c r="EL228" s="35"/>
      <c r="EM228" s="25"/>
      <c r="EN228" s="26"/>
      <c r="EO228" s="26"/>
      <c r="EP228" s="35"/>
      <c r="EQ228" s="25"/>
      <c r="ER228" s="26"/>
      <c r="ES228" s="26"/>
      <c r="ET228" s="35"/>
      <c r="EU228" s="25"/>
      <c r="EV228" s="26"/>
      <c r="EW228" s="26"/>
      <c r="EX228" s="35"/>
      <c r="EY228" s="25"/>
      <c r="EZ228" s="26"/>
      <c r="FA228" s="26"/>
      <c r="FB228" s="35"/>
      <c r="FC228" s="25"/>
      <c r="FD228" s="26"/>
      <c r="FE228" s="26"/>
      <c r="FF228" s="35"/>
      <c r="FG228" s="25"/>
      <c r="FH228" s="26"/>
      <c r="FI228" s="26"/>
      <c r="FJ228" s="35"/>
      <c r="FK228" s="25"/>
      <c r="FL228" s="26"/>
      <c r="FM228" s="26"/>
      <c r="FN228" s="35"/>
      <c r="FO228" s="25"/>
      <c r="FP228" s="26"/>
      <c r="FQ228" s="26"/>
      <c r="FR228" s="35"/>
      <c r="FS228" s="25"/>
      <c r="FT228" s="26"/>
      <c r="FU228" s="26"/>
      <c r="FV228" s="35"/>
      <c r="FW228" s="25"/>
      <c r="FX228" s="26"/>
      <c r="FY228" s="26"/>
      <c r="FZ228" s="35"/>
      <c r="GA228" s="25"/>
      <c r="GB228" s="26"/>
      <c r="GC228" s="26"/>
      <c r="GD228" s="35"/>
      <c r="GE228" s="25"/>
      <c r="GF228" s="26"/>
      <c r="GG228" s="26"/>
      <c r="GH228" s="35"/>
      <c r="GI228" s="25"/>
      <c r="GJ228" s="26"/>
      <c r="GK228" s="26"/>
      <c r="GL228" s="35"/>
      <c r="GM228" s="25"/>
      <c r="GN228" s="26"/>
      <c r="GO228" s="26"/>
      <c r="GP228" s="35"/>
      <c r="GQ228" s="25"/>
      <c r="GR228" s="26"/>
      <c r="GS228" s="26"/>
      <c r="GT228" s="35"/>
      <c r="GU228" s="25"/>
      <c r="GV228" s="26"/>
      <c r="GW228" s="26"/>
      <c r="GX228" s="35"/>
      <c r="GY228" s="25"/>
      <c r="GZ228" s="26"/>
      <c r="HA228" s="26"/>
      <c r="HB228" s="35"/>
      <c r="HC228" s="25"/>
      <c r="HD228" s="26"/>
      <c r="HE228" s="26"/>
      <c r="HF228" s="35"/>
      <c r="HG228" s="25"/>
      <c r="HH228" s="26"/>
      <c r="HI228" s="26"/>
      <c r="HJ228" s="35"/>
      <c r="HK228" s="25"/>
      <c r="HL228" s="26"/>
      <c r="HM228" s="26"/>
      <c r="HN228" s="35"/>
      <c r="HO228" s="25"/>
      <c r="HP228" s="26"/>
      <c r="HQ228" s="26"/>
      <c r="HR228" s="35"/>
      <c r="HS228" s="25"/>
      <c r="HT228" s="26"/>
      <c r="HU228" s="26"/>
      <c r="HV228" s="35"/>
      <c r="HW228" s="25"/>
      <c r="HX228" s="26"/>
      <c r="HY228" s="26"/>
      <c r="HZ228" s="35"/>
      <c r="IA228" s="25"/>
      <c r="IB228" s="26"/>
      <c r="IC228" s="26"/>
      <c r="ID228" s="35"/>
      <c r="IE228" s="25"/>
      <c r="IF228" s="26"/>
      <c r="IG228" s="26"/>
      <c r="IH228" s="35"/>
      <c r="II228" s="25"/>
      <c r="IJ228" s="26"/>
      <c r="IK228" s="26"/>
      <c r="IL228" s="35"/>
      <c r="IM228" s="25"/>
      <c r="IN228" s="26"/>
      <c r="IO228" s="26"/>
      <c r="IP228" s="35"/>
      <c r="IQ228" s="25"/>
      <c r="IR228" s="26"/>
      <c r="IS228" s="26"/>
      <c r="IT228" s="35"/>
      <c r="IU228" s="25"/>
      <c r="IV228" s="26"/>
    </row>
    <row r="229" spans="2:256" ht="30" customHeight="1" x14ac:dyDescent="0.25">
      <c r="B229" s="14"/>
      <c r="C229" s="113" t="s">
        <v>337</v>
      </c>
      <c r="D229" s="178" t="s">
        <v>261</v>
      </c>
      <c r="E229" s="115">
        <f>E227+E219+E223</f>
        <v>8670000</v>
      </c>
      <c r="F229" s="115">
        <f>F227+F219+F223</f>
        <v>0</v>
      </c>
      <c r="G229" s="115">
        <f>G227+G219+G223</f>
        <v>11884819</v>
      </c>
      <c r="H229" s="115">
        <f>H227+H219+H223</f>
        <v>6744000</v>
      </c>
      <c r="I229" s="104">
        <f t="shared" si="75"/>
        <v>1.3333333333333333</v>
      </c>
      <c r="J229" s="176"/>
      <c r="K229" s="117">
        <f t="shared" ref="K229:AF229" si="86">K227+K219+K223</f>
        <v>6123330.9000000004</v>
      </c>
      <c r="L229" s="117">
        <f t="shared" si="86"/>
        <v>5664000</v>
      </c>
      <c r="M229" s="117">
        <f t="shared" si="86"/>
        <v>3263099</v>
      </c>
      <c r="N229" s="117">
        <f t="shared" si="86"/>
        <v>0</v>
      </c>
      <c r="O229" s="118">
        <f t="shared" si="86"/>
        <v>4810500</v>
      </c>
      <c r="P229" s="118">
        <f t="shared" si="86"/>
        <v>1746146</v>
      </c>
      <c r="Q229" s="118">
        <f t="shared" si="86"/>
        <v>1073073</v>
      </c>
      <c r="R229" s="117">
        <f t="shared" si="86"/>
        <v>3905000</v>
      </c>
      <c r="S229" s="117">
        <f t="shared" si="86"/>
        <v>3113100</v>
      </c>
      <c r="T229" s="117">
        <f t="shared" si="86"/>
        <v>2819219</v>
      </c>
      <c r="U229" s="117">
        <f t="shared" si="86"/>
        <v>3113100</v>
      </c>
      <c r="V229" s="117">
        <f t="shared" si="86"/>
        <v>1185550</v>
      </c>
      <c r="W229" s="117">
        <f t="shared" si="86"/>
        <v>2621100</v>
      </c>
      <c r="X229" s="117">
        <f t="shared" si="86"/>
        <v>2683100</v>
      </c>
      <c r="Y229" s="117">
        <f t="shared" si="86"/>
        <v>1743665</v>
      </c>
      <c r="Z229" s="117">
        <f t="shared" si="86"/>
        <v>2092398</v>
      </c>
      <c r="AA229" s="117">
        <f t="shared" si="86"/>
        <v>2313250</v>
      </c>
      <c r="AB229" s="117">
        <f t="shared" si="86"/>
        <v>1230899</v>
      </c>
      <c r="AC229" s="117">
        <f t="shared" si="86"/>
        <v>1471000</v>
      </c>
      <c r="AD229" s="117">
        <f t="shared" si="86"/>
        <v>1378300</v>
      </c>
      <c r="AE229" s="117">
        <f t="shared" si="86"/>
        <v>903100</v>
      </c>
      <c r="AF229" s="117">
        <f t="shared" si="86"/>
        <v>361000</v>
      </c>
      <c r="AG229" s="26"/>
      <c r="AH229" s="26"/>
      <c r="AI229" s="35"/>
      <c r="AJ229" s="25"/>
      <c r="AK229" s="26"/>
      <c r="AL229" s="26"/>
      <c r="AM229" s="35"/>
      <c r="AN229" s="25"/>
      <c r="AO229" s="26"/>
      <c r="AP229" s="35"/>
      <c r="AQ229" s="25"/>
      <c r="AR229" s="26"/>
      <c r="AS229" s="26"/>
      <c r="AT229" s="35"/>
      <c r="AU229" s="25"/>
      <c r="AV229" s="26"/>
      <c r="AW229" s="35"/>
      <c r="AX229" s="26"/>
      <c r="AY229" s="26"/>
      <c r="AZ229" s="35"/>
      <c r="BA229" s="26"/>
      <c r="BB229" s="35"/>
      <c r="BC229" s="25"/>
      <c r="BD229" s="26"/>
      <c r="BE229" s="26"/>
      <c r="BF229" s="35"/>
      <c r="BG229" s="25"/>
      <c r="BH229" s="26"/>
      <c r="BI229" s="26"/>
      <c r="BJ229" s="35"/>
      <c r="BK229" s="25"/>
      <c r="BL229" s="26"/>
      <c r="BM229" s="26"/>
      <c r="BN229" s="35"/>
      <c r="BO229" s="25"/>
      <c r="BP229" s="26"/>
      <c r="BQ229" s="26"/>
      <c r="BR229" s="35"/>
      <c r="BS229" s="25"/>
      <c r="BT229" s="26"/>
      <c r="BU229" s="26"/>
      <c r="BV229" s="35"/>
      <c r="BW229" s="25"/>
      <c r="BX229" s="26"/>
      <c r="BY229" s="26"/>
      <c r="BZ229" s="35"/>
      <c r="CA229" s="25"/>
      <c r="CB229" s="26"/>
      <c r="CC229" s="26"/>
      <c r="CD229" s="35"/>
      <c r="CE229" s="25"/>
      <c r="CF229" s="26"/>
      <c r="CG229" s="26"/>
      <c r="CH229" s="35"/>
      <c r="CI229" s="25"/>
      <c r="CJ229" s="26"/>
      <c r="CK229" s="26"/>
      <c r="CL229" s="35"/>
      <c r="CM229" s="25"/>
      <c r="CN229" s="26"/>
      <c r="CO229" s="26"/>
      <c r="CP229" s="35"/>
      <c r="CQ229" s="25"/>
      <c r="CR229" s="26"/>
      <c r="CS229" s="26"/>
      <c r="CT229" s="35"/>
      <c r="CU229" s="25"/>
      <c r="CV229" s="26"/>
      <c r="CW229" s="26"/>
      <c r="CX229" s="35"/>
      <c r="CY229" s="25"/>
      <c r="CZ229" s="26"/>
      <c r="DA229" s="26"/>
      <c r="DB229" s="35"/>
      <c r="DC229" s="25"/>
      <c r="DD229" s="26"/>
      <c r="DE229" s="26"/>
      <c r="DF229" s="35"/>
      <c r="DG229" s="25"/>
      <c r="DH229" s="26"/>
      <c r="DI229" s="26"/>
      <c r="DJ229" s="35"/>
      <c r="DK229" s="25"/>
      <c r="DL229" s="26"/>
      <c r="DM229" s="26"/>
      <c r="DN229" s="35"/>
      <c r="DO229" s="25"/>
      <c r="DP229" s="26"/>
      <c r="DQ229" s="26"/>
      <c r="DR229" s="35"/>
      <c r="DS229" s="25"/>
      <c r="DT229" s="26"/>
      <c r="DU229" s="26"/>
      <c r="DV229" s="35"/>
      <c r="DW229" s="25"/>
      <c r="DX229" s="26"/>
      <c r="DY229" s="26"/>
      <c r="DZ229" s="35"/>
      <c r="EA229" s="25"/>
      <c r="EB229" s="26"/>
      <c r="EC229" s="26"/>
      <c r="ED229" s="35"/>
      <c r="EE229" s="25"/>
      <c r="EF229" s="26"/>
      <c r="EG229" s="26"/>
      <c r="EH229" s="35"/>
      <c r="EI229" s="25"/>
      <c r="EJ229" s="26"/>
      <c r="EK229" s="26"/>
      <c r="EL229" s="35"/>
      <c r="EM229" s="25"/>
      <c r="EN229" s="26"/>
      <c r="EO229" s="26"/>
      <c r="EP229" s="35"/>
      <c r="EQ229" s="25"/>
      <c r="ER229" s="26"/>
      <c r="ES229" s="26"/>
      <c r="ET229" s="35"/>
      <c r="EU229" s="25"/>
      <c r="EV229" s="26"/>
      <c r="EW229" s="26"/>
      <c r="EX229" s="35"/>
      <c r="EY229" s="25"/>
      <c r="EZ229" s="26"/>
      <c r="FA229" s="26"/>
      <c r="FB229" s="35"/>
      <c r="FC229" s="25"/>
      <c r="FD229" s="26"/>
      <c r="FE229" s="26"/>
      <c r="FF229" s="35"/>
      <c r="FG229" s="25"/>
      <c r="FH229" s="26"/>
      <c r="FI229" s="26"/>
      <c r="FJ229" s="35"/>
      <c r="FK229" s="25"/>
      <c r="FL229" s="26"/>
      <c r="FM229" s="26"/>
      <c r="FN229" s="35"/>
      <c r="FO229" s="25"/>
      <c r="FP229" s="26"/>
      <c r="FQ229" s="26"/>
      <c r="FR229" s="35"/>
      <c r="FS229" s="25"/>
      <c r="FT229" s="26"/>
      <c r="FU229" s="26"/>
      <c r="FV229" s="35"/>
      <c r="FW229" s="25"/>
      <c r="FX229" s="26"/>
      <c r="FY229" s="26"/>
      <c r="FZ229" s="35"/>
      <c r="GA229" s="25"/>
      <c r="GB229" s="26"/>
      <c r="GC229" s="26"/>
      <c r="GD229" s="35"/>
      <c r="GE229" s="25"/>
      <c r="GF229" s="26"/>
      <c r="GG229" s="26"/>
      <c r="GH229" s="35"/>
      <c r="GI229" s="25"/>
      <c r="GJ229" s="26"/>
      <c r="GK229" s="26"/>
      <c r="GL229" s="35"/>
      <c r="GM229" s="25"/>
      <c r="GN229" s="26"/>
      <c r="GO229" s="26"/>
      <c r="GP229" s="35"/>
      <c r="GQ229" s="25"/>
      <c r="GR229" s="26"/>
      <c r="GS229" s="26"/>
      <c r="GT229" s="35"/>
      <c r="GU229" s="25"/>
      <c r="GV229" s="26"/>
      <c r="GW229" s="26"/>
      <c r="GX229" s="35"/>
      <c r="GY229" s="25"/>
      <c r="GZ229" s="26"/>
      <c r="HA229" s="26"/>
      <c r="HB229" s="35"/>
      <c r="HC229" s="25"/>
      <c r="HD229" s="26"/>
      <c r="HE229" s="26"/>
      <c r="HF229" s="35"/>
      <c r="HG229" s="25"/>
      <c r="HH229" s="26"/>
      <c r="HI229" s="26"/>
      <c r="HJ229" s="35"/>
      <c r="HK229" s="25"/>
      <c r="HL229" s="26"/>
      <c r="HM229" s="26"/>
      <c r="HN229" s="35"/>
      <c r="HO229" s="25"/>
      <c r="HP229" s="26"/>
      <c r="HQ229" s="26"/>
      <c r="HR229" s="35"/>
      <c r="HS229" s="25"/>
      <c r="HT229" s="26"/>
      <c r="HU229" s="26"/>
      <c r="HV229" s="35"/>
      <c r="HW229" s="25"/>
      <c r="HX229" s="26"/>
      <c r="HY229" s="26"/>
      <c r="HZ229" s="35"/>
      <c r="IA229" s="25"/>
      <c r="IB229" s="26"/>
      <c r="IC229" s="26"/>
      <c r="ID229" s="35"/>
      <c r="IE229" s="25"/>
      <c r="IF229" s="26"/>
      <c r="IG229" s="26"/>
      <c r="IH229" s="35"/>
      <c r="II229" s="25"/>
      <c r="IJ229" s="26"/>
      <c r="IK229" s="26"/>
      <c r="IL229" s="35"/>
      <c r="IM229" s="25"/>
      <c r="IN229" s="26"/>
      <c r="IO229" s="26"/>
      <c r="IP229" s="35"/>
      <c r="IQ229" s="25"/>
      <c r="IR229" s="26"/>
      <c r="IS229" s="26"/>
      <c r="IT229" s="35"/>
      <c r="IU229" s="25"/>
      <c r="IV229" s="26"/>
    </row>
    <row r="230" spans="2:256" ht="30" customHeight="1" x14ac:dyDescent="0.25">
      <c r="B230" s="14"/>
      <c r="C230" s="140">
        <v>599000.53</v>
      </c>
      <c r="D230" s="141" t="s">
        <v>378</v>
      </c>
      <c r="E230" s="179"/>
      <c r="F230" s="105"/>
      <c r="G230" s="146"/>
      <c r="H230" s="179"/>
      <c r="I230" s="146">
        <f t="shared" si="75"/>
        <v>1.3333333333333333</v>
      </c>
      <c r="J230" s="180"/>
      <c r="K230" s="159"/>
      <c r="L230" s="149"/>
      <c r="M230" s="159">
        <v>400000</v>
      </c>
      <c r="N230" s="159">
        <v>400000</v>
      </c>
      <c r="O230" s="181">
        <v>400000</v>
      </c>
      <c r="P230" s="181">
        <v>300000</v>
      </c>
      <c r="Q230" s="181"/>
      <c r="R230" s="159">
        <v>0</v>
      </c>
      <c r="S230" s="159">
        <v>1750000</v>
      </c>
      <c r="T230" s="107">
        <v>1750000</v>
      </c>
      <c r="U230" s="107">
        <v>1100000</v>
      </c>
      <c r="V230" s="107">
        <v>3113000</v>
      </c>
      <c r="W230" s="107">
        <v>3113000</v>
      </c>
      <c r="X230" s="110">
        <v>3113000</v>
      </c>
      <c r="Y230" s="107">
        <v>3413000</v>
      </c>
      <c r="Z230" s="107">
        <v>3413000</v>
      </c>
      <c r="AA230" s="110"/>
      <c r="AB230" s="110"/>
      <c r="AC230" s="110"/>
      <c r="AD230" s="110"/>
      <c r="AE230" s="159"/>
      <c r="AF230" s="110"/>
      <c r="AG230" s="26"/>
      <c r="AH230" s="26"/>
      <c r="AI230" s="35"/>
      <c r="AJ230" s="25"/>
      <c r="AK230" s="26"/>
      <c r="AL230" s="26"/>
      <c r="AM230" s="35"/>
      <c r="AN230" s="25"/>
      <c r="AO230" s="26"/>
      <c r="AP230" s="35"/>
      <c r="AQ230" s="25"/>
      <c r="AR230" s="26"/>
      <c r="AS230" s="26"/>
      <c r="AT230" s="35"/>
      <c r="AU230" s="25"/>
      <c r="AV230" s="26"/>
      <c r="AW230" s="35"/>
      <c r="AX230" s="26"/>
      <c r="AY230" s="26"/>
      <c r="AZ230" s="35"/>
      <c r="BA230" s="26"/>
      <c r="BB230" s="35"/>
      <c r="BC230" s="25"/>
      <c r="BD230" s="26"/>
      <c r="BE230" s="26"/>
      <c r="BF230" s="35"/>
      <c r="BG230" s="25"/>
      <c r="BH230" s="26"/>
      <c r="BI230" s="26"/>
      <c r="BJ230" s="35"/>
      <c r="BK230" s="25"/>
      <c r="BL230" s="26"/>
      <c r="BM230" s="26"/>
      <c r="BN230" s="35"/>
      <c r="BO230" s="25"/>
      <c r="BP230" s="26"/>
      <c r="BQ230" s="26"/>
      <c r="BR230" s="35"/>
      <c r="BS230" s="25"/>
      <c r="BT230" s="26"/>
      <c r="BU230" s="26"/>
      <c r="BV230" s="35"/>
      <c r="BW230" s="25"/>
      <c r="BX230" s="26"/>
      <c r="BY230" s="26"/>
      <c r="BZ230" s="35"/>
      <c r="CA230" s="25"/>
      <c r="CB230" s="26"/>
      <c r="CC230" s="26"/>
      <c r="CD230" s="35"/>
      <c r="CE230" s="25"/>
      <c r="CF230" s="26"/>
      <c r="CG230" s="26"/>
      <c r="CH230" s="35"/>
      <c r="CI230" s="25"/>
      <c r="CJ230" s="26"/>
      <c r="CK230" s="26"/>
      <c r="CL230" s="35"/>
      <c r="CM230" s="25"/>
      <c r="CN230" s="26"/>
      <c r="CO230" s="26"/>
      <c r="CP230" s="35"/>
      <c r="CQ230" s="25"/>
      <c r="CR230" s="26"/>
      <c r="CS230" s="26"/>
      <c r="CT230" s="35"/>
      <c r="CU230" s="25"/>
      <c r="CV230" s="26"/>
      <c r="CW230" s="26"/>
      <c r="CX230" s="35"/>
      <c r="CY230" s="25"/>
      <c r="CZ230" s="26"/>
      <c r="DA230" s="26"/>
      <c r="DB230" s="35"/>
      <c r="DC230" s="25"/>
      <c r="DD230" s="26"/>
      <c r="DE230" s="26"/>
      <c r="DF230" s="35"/>
      <c r="DG230" s="25"/>
      <c r="DH230" s="26"/>
      <c r="DI230" s="26"/>
      <c r="DJ230" s="35"/>
      <c r="DK230" s="25"/>
      <c r="DL230" s="26"/>
      <c r="DM230" s="26"/>
      <c r="DN230" s="35"/>
      <c r="DO230" s="25"/>
      <c r="DP230" s="26"/>
      <c r="DQ230" s="26"/>
      <c r="DR230" s="35"/>
      <c r="DS230" s="25"/>
      <c r="DT230" s="26"/>
      <c r="DU230" s="26"/>
      <c r="DV230" s="35"/>
      <c r="DW230" s="25"/>
      <c r="DX230" s="26"/>
      <c r="DY230" s="26"/>
      <c r="DZ230" s="35"/>
      <c r="EA230" s="25"/>
      <c r="EB230" s="26"/>
      <c r="EC230" s="26"/>
      <c r="ED230" s="35"/>
      <c r="EE230" s="25"/>
      <c r="EF230" s="26"/>
      <c r="EG230" s="26"/>
      <c r="EH230" s="35"/>
      <c r="EI230" s="25"/>
      <c r="EJ230" s="26"/>
      <c r="EK230" s="26"/>
      <c r="EL230" s="35"/>
      <c r="EM230" s="25"/>
      <c r="EN230" s="26"/>
      <c r="EO230" s="26"/>
      <c r="EP230" s="35"/>
      <c r="EQ230" s="25"/>
      <c r="ER230" s="26"/>
      <c r="ES230" s="26"/>
      <c r="ET230" s="35"/>
      <c r="EU230" s="25"/>
      <c r="EV230" s="26"/>
      <c r="EW230" s="26"/>
      <c r="EX230" s="35"/>
      <c r="EY230" s="25"/>
      <c r="EZ230" s="26"/>
      <c r="FA230" s="26"/>
      <c r="FB230" s="35"/>
      <c r="FC230" s="25"/>
      <c r="FD230" s="26"/>
      <c r="FE230" s="26"/>
      <c r="FF230" s="35"/>
      <c r="FG230" s="25"/>
      <c r="FH230" s="26"/>
      <c r="FI230" s="26"/>
      <c r="FJ230" s="35"/>
      <c r="FK230" s="25"/>
      <c r="FL230" s="26"/>
      <c r="FM230" s="26"/>
      <c r="FN230" s="35"/>
      <c r="FO230" s="25"/>
      <c r="FP230" s="26"/>
      <c r="FQ230" s="26"/>
      <c r="FR230" s="35"/>
      <c r="FS230" s="25"/>
      <c r="FT230" s="26"/>
      <c r="FU230" s="26"/>
      <c r="FV230" s="35"/>
      <c r="FW230" s="25"/>
      <c r="FX230" s="26"/>
      <c r="FY230" s="26"/>
      <c r="FZ230" s="35"/>
      <c r="GA230" s="25"/>
      <c r="GB230" s="26"/>
      <c r="GC230" s="26"/>
      <c r="GD230" s="35"/>
      <c r="GE230" s="25"/>
      <c r="GF230" s="26"/>
      <c r="GG230" s="26"/>
      <c r="GH230" s="35"/>
      <c r="GI230" s="25"/>
      <c r="GJ230" s="26"/>
      <c r="GK230" s="26"/>
      <c r="GL230" s="35"/>
      <c r="GM230" s="25"/>
      <c r="GN230" s="26"/>
      <c r="GO230" s="26"/>
      <c r="GP230" s="35"/>
      <c r="GQ230" s="25"/>
      <c r="GR230" s="26"/>
      <c r="GS230" s="26"/>
      <c r="GT230" s="35"/>
      <c r="GU230" s="25"/>
      <c r="GV230" s="26"/>
      <c r="GW230" s="26"/>
      <c r="GX230" s="35"/>
      <c r="GY230" s="25"/>
      <c r="GZ230" s="26"/>
      <c r="HA230" s="26"/>
      <c r="HB230" s="35"/>
      <c r="HC230" s="25"/>
      <c r="HD230" s="26"/>
      <c r="HE230" s="26"/>
      <c r="HF230" s="35"/>
      <c r="HG230" s="25"/>
      <c r="HH230" s="26"/>
      <c r="HI230" s="26"/>
      <c r="HJ230" s="35"/>
      <c r="HK230" s="25"/>
      <c r="HL230" s="26"/>
      <c r="HM230" s="26"/>
      <c r="HN230" s="35"/>
      <c r="HO230" s="25"/>
      <c r="HP230" s="26"/>
      <c r="HQ230" s="26"/>
      <c r="HR230" s="35"/>
      <c r="HS230" s="25"/>
      <c r="HT230" s="26"/>
      <c r="HU230" s="26"/>
      <c r="HV230" s="35"/>
      <c r="HW230" s="25"/>
      <c r="HX230" s="26"/>
      <c r="HY230" s="26"/>
      <c r="HZ230" s="35"/>
      <c r="IA230" s="25"/>
      <c r="IB230" s="26"/>
      <c r="IC230" s="26"/>
      <c r="ID230" s="35"/>
      <c r="IE230" s="25"/>
      <c r="IF230" s="26"/>
      <c r="IG230" s="26"/>
      <c r="IH230" s="35"/>
      <c r="II230" s="25"/>
      <c r="IJ230" s="26"/>
      <c r="IK230" s="26"/>
      <c r="IL230" s="35"/>
      <c r="IM230" s="25"/>
      <c r="IN230" s="26"/>
      <c r="IO230" s="26"/>
      <c r="IP230" s="35"/>
      <c r="IQ230" s="25"/>
      <c r="IR230" s="26"/>
      <c r="IS230" s="26"/>
      <c r="IT230" s="35"/>
      <c r="IU230" s="25"/>
      <c r="IV230" s="26"/>
    </row>
    <row r="231" spans="2:256" ht="30" customHeight="1" x14ac:dyDescent="0.25">
      <c r="B231" s="14">
        <f>SUM(B7:B230)</f>
        <v>55347073</v>
      </c>
      <c r="C231" s="164"/>
      <c r="D231" s="182" t="s">
        <v>282</v>
      </c>
      <c r="E231" s="183" t="e">
        <f>E229+E211+E48+E23+E230</f>
        <v>#REF!</v>
      </c>
      <c r="F231" s="183" t="e">
        <f>F229+F211+F48+F23+F230</f>
        <v>#REF!</v>
      </c>
      <c r="G231" s="183" t="e">
        <f>G229+G211+G48+G23+G230</f>
        <v>#REF!</v>
      </c>
      <c r="H231" s="183" t="e">
        <f>H229+H211+H48+H23+H230</f>
        <v>#REF!</v>
      </c>
      <c r="I231" s="104">
        <f t="shared" si="75"/>
        <v>1.3333333333333333</v>
      </c>
      <c r="J231" s="154"/>
      <c r="K231" s="184" t="e">
        <f t="shared" ref="K231:AF231" si="87">K229+K211+K48+K23+K230</f>
        <v>#REF!</v>
      </c>
      <c r="L231" s="184" t="e">
        <f t="shared" si="87"/>
        <v>#REF!</v>
      </c>
      <c r="M231" s="184" t="e">
        <f t="shared" si="87"/>
        <v>#REF!</v>
      </c>
      <c r="N231" s="184" t="e">
        <f t="shared" si="87"/>
        <v>#REF!</v>
      </c>
      <c r="O231" s="185" t="e">
        <f t="shared" si="87"/>
        <v>#REF!</v>
      </c>
      <c r="P231" s="185" t="e">
        <f t="shared" si="87"/>
        <v>#REF!</v>
      </c>
      <c r="Q231" s="185" t="e">
        <f t="shared" si="87"/>
        <v>#REF!</v>
      </c>
      <c r="R231" s="184" t="e">
        <f t="shared" si="87"/>
        <v>#REF!</v>
      </c>
      <c r="S231" s="184" t="e">
        <f t="shared" si="87"/>
        <v>#REF!</v>
      </c>
      <c r="T231" s="184" t="e">
        <f t="shared" si="87"/>
        <v>#REF!</v>
      </c>
      <c r="U231" s="184" t="e">
        <f t="shared" si="87"/>
        <v>#REF!</v>
      </c>
      <c r="V231" s="184" t="e">
        <f t="shared" si="87"/>
        <v>#REF!</v>
      </c>
      <c r="W231" s="184" t="e">
        <f t="shared" si="87"/>
        <v>#REF!</v>
      </c>
      <c r="X231" s="184" t="e">
        <f t="shared" si="87"/>
        <v>#REF!</v>
      </c>
      <c r="Y231" s="184" t="e">
        <f t="shared" si="87"/>
        <v>#REF!</v>
      </c>
      <c r="Z231" s="184" t="e">
        <f t="shared" si="87"/>
        <v>#REF!</v>
      </c>
      <c r="AA231" s="184" t="e">
        <f t="shared" si="87"/>
        <v>#REF!</v>
      </c>
      <c r="AB231" s="184" t="e">
        <f t="shared" si="87"/>
        <v>#REF!</v>
      </c>
      <c r="AC231" s="184" t="e">
        <f t="shared" si="87"/>
        <v>#REF!</v>
      </c>
      <c r="AD231" s="184">
        <f t="shared" si="87"/>
        <v>161935100.40000001</v>
      </c>
      <c r="AE231" s="184">
        <f t="shared" si="87"/>
        <v>168212400</v>
      </c>
      <c r="AF231" s="184">
        <f t="shared" si="87"/>
        <v>181058000</v>
      </c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  <c r="CX231" s="16"/>
      <c r="CY231" s="16"/>
      <c r="CZ231" s="16"/>
      <c r="DA231" s="16"/>
      <c r="DB231" s="16"/>
      <c r="DC231" s="16"/>
      <c r="DD231" s="16"/>
      <c r="DE231" s="16"/>
      <c r="DF231" s="16"/>
      <c r="DG231" s="16"/>
      <c r="DH231" s="16"/>
      <c r="DI231" s="16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  <c r="FC231" s="16"/>
      <c r="FD231" s="16"/>
      <c r="FE231" s="16"/>
      <c r="FF231" s="16"/>
      <c r="FG231" s="16"/>
      <c r="FH231" s="16"/>
      <c r="FI231" s="16"/>
      <c r="FJ231" s="16"/>
      <c r="FK231" s="16"/>
      <c r="FL231" s="16"/>
      <c r="FM231" s="16"/>
      <c r="FN231" s="16"/>
      <c r="FO231" s="16"/>
      <c r="FP231" s="16"/>
      <c r="FQ231" s="16"/>
      <c r="FR231" s="16"/>
      <c r="FS231" s="16"/>
      <c r="FT231" s="16"/>
      <c r="FU231" s="16"/>
      <c r="FV231" s="16"/>
      <c r="FW231" s="16"/>
      <c r="FX231" s="16"/>
      <c r="FY231" s="16"/>
      <c r="FZ231" s="16"/>
      <c r="GA231" s="16"/>
      <c r="GB231" s="16"/>
      <c r="GC231" s="16"/>
      <c r="GD231" s="16"/>
      <c r="GE231" s="16"/>
      <c r="GF231" s="16"/>
      <c r="GG231" s="16"/>
      <c r="GH231" s="16"/>
      <c r="GI231" s="16"/>
      <c r="GJ231" s="16"/>
      <c r="GK231" s="16"/>
      <c r="GL231" s="16"/>
      <c r="GM231" s="16"/>
      <c r="GN231" s="16"/>
      <c r="GO231" s="16"/>
      <c r="GP231" s="16"/>
      <c r="GQ231" s="16"/>
      <c r="GR231" s="16"/>
      <c r="GS231" s="16"/>
      <c r="GT231" s="16"/>
      <c r="GU231" s="16"/>
      <c r="GV231" s="16"/>
      <c r="GW231" s="16"/>
      <c r="GX231" s="16"/>
      <c r="GY231" s="16"/>
      <c r="GZ231" s="16"/>
      <c r="HA231" s="16"/>
      <c r="HB231" s="16"/>
      <c r="HC231" s="16"/>
      <c r="HD231" s="16"/>
      <c r="HE231" s="16"/>
      <c r="HF231" s="16"/>
      <c r="HG231" s="16"/>
      <c r="HH231" s="16"/>
      <c r="HI231" s="16"/>
      <c r="HJ231" s="16"/>
      <c r="HK231" s="16"/>
      <c r="HL231" s="16"/>
      <c r="HM231" s="16"/>
      <c r="HN231" s="16"/>
      <c r="HO231" s="16"/>
      <c r="HP231" s="16"/>
      <c r="HQ231" s="16"/>
      <c r="HR231" s="16"/>
      <c r="HS231" s="16"/>
      <c r="HT231" s="16"/>
      <c r="HU231" s="16"/>
      <c r="HV231" s="16"/>
      <c r="HW231" s="16"/>
      <c r="HX231" s="16"/>
      <c r="HY231" s="16"/>
      <c r="HZ231" s="16"/>
      <c r="IA231" s="16"/>
      <c r="IB231" s="16"/>
      <c r="IC231" s="16"/>
      <c r="ID231" s="16"/>
      <c r="IE231" s="16"/>
      <c r="IF231" s="16"/>
      <c r="IG231" s="16"/>
      <c r="IH231" s="16"/>
      <c r="II231" s="16"/>
      <c r="IJ231" s="16"/>
      <c r="IK231" s="16"/>
      <c r="IL231" s="16"/>
      <c r="IM231" s="16"/>
      <c r="IN231" s="16"/>
      <c r="IO231" s="16"/>
      <c r="IP231" s="16"/>
      <c r="IQ231" s="16"/>
      <c r="IR231" s="16"/>
      <c r="IS231" s="16"/>
      <c r="IT231" s="16"/>
      <c r="IU231" s="16"/>
      <c r="IV231" s="16"/>
    </row>
    <row r="232" spans="2:256" ht="23.1" customHeight="1" x14ac:dyDescent="0.25">
      <c r="B232" s="14"/>
      <c r="C232" s="39"/>
      <c r="D232" s="40"/>
      <c r="E232" s="41"/>
      <c r="F232" s="40"/>
      <c r="G232" s="42"/>
      <c r="H232" s="42"/>
      <c r="I232" s="42"/>
      <c r="J232" s="21"/>
      <c r="K232" s="16"/>
      <c r="L232" s="16"/>
      <c r="M232" s="16"/>
      <c r="N232" s="16"/>
      <c r="O232" s="55"/>
      <c r="P232" s="55"/>
      <c r="Q232" s="55"/>
      <c r="R232" s="16"/>
      <c r="S232" s="16"/>
      <c r="T232" s="16"/>
      <c r="U232" s="68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  <c r="DN232" s="16"/>
      <c r="DO232" s="16"/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  <c r="FC232" s="16"/>
      <c r="FD232" s="16"/>
      <c r="FE232" s="16"/>
      <c r="FF232" s="16"/>
      <c r="FG232" s="16"/>
      <c r="FH232" s="16"/>
      <c r="FI232" s="16"/>
      <c r="FJ232" s="16"/>
      <c r="FK232" s="16"/>
      <c r="FL232" s="16"/>
      <c r="FM232" s="16"/>
      <c r="FN232" s="16"/>
      <c r="FO232" s="16"/>
      <c r="FP232" s="16"/>
      <c r="FQ232" s="16"/>
      <c r="FR232" s="16"/>
      <c r="FS232" s="16"/>
      <c r="FT232" s="16"/>
      <c r="FU232" s="16"/>
      <c r="FV232" s="16"/>
      <c r="FW232" s="16"/>
      <c r="FX232" s="16"/>
      <c r="FY232" s="16"/>
      <c r="FZ232" s="16"/>
      <c r="GA232" s="16"/>
      <c r="GB232" s="16"/>
      <c r="GC232" s="16"/>
      <c r="GD232" s="16"/>
      <c r="GE232" s="16"/>
      <c r="GF232" s="16"/>
      <c r="GG232" s="16"/>
      <c r="GH232" s="16"/>
      <c r="GI232" s="16"/>
      <c r="GJ232" s="16"/>
      <c r="GK232" s="16"/>
      <c r="GL232" s="16"/>
      <c r="GM232" s="16"/>
      <c r="GN232" s="16"/>
      <c r="GO232" s="16"/>
      <c r="GP232" s="16"/>
      <c r="GQ232" s="16"/>
      <c r="GR232" s="16"/>
      <c r="GS232" s="16"/>
      <c r="GT232" s="16"/>
      <c r="GU232" s="16"/>
      <c r="GV232" s="16"/>
      <c r="GW232" s="16"/>
      <c r="GX232" s="16"/>
      <c r="GY232" s="16"/>
      <c r="GZ232" s="16"/>
      <c r="HA232" s="16"/>
      <c r="HB232" s="16"/>
      <c r="HC232" s="16"/>
      <c r="HD232" s="16"/>
      <c r="HE232" s="16"/>
      <c r="HF232" s="16"/>
      <c r="HG232" s="16"/>
      <c r="HH232" s="16"/>
      <c r="HI232" s="16"/>
      <c r="HJ232" s="16"/>
      <c r="HK232" s="16"/>
      <c r="HL232" s="16"/>
      <c r="HM232" s="16"/>
      <c r="HN232" s="16"/>
      <c r="HO232" s="16"/>
      <c r="HP232" s="16"/>
      <c r="HQ232" s="16"/>
      <c r="HR232" s="16"/>
      <c r="HS232" s="16"/>
      <c r="HT232" s="16"/>
      <c r="HU232" s="16"/>
      <c r="HV232" s="16"/>
      <c r="HW232" s="16"/>
      <c r="HX232" s="16"/>
      <c r="HY232" s="16"/>
      <c r="HZ232" s="16"/>
      <c r="IA232" s="16"/>
      <c r="IB232" s="16"/>
      <c r="IC232" s="16"/>
      <c r="ID232" s="16"/>
      <c r="IE232" s="16"/>
      <c r="IF232" s="16"/>
      <c r="IG232" s="16"/>
      <c r="IH232" s="16"/>
      <c r="II232" s="16"/>
      <c r="IJ232" s="16"/>
      <c r="IK232" s="16"/>
      <c r="IL232" s="16"/>
      <c r="IM232" s="16"/>
      <c r="IN232" s="16"/>
      <c r="IO232" s="16"/>
      <c r="IP232" s="16"/>
      <c r="IQ232" s="16"/>
      <c r="IR232" s="16"/>
      <c r="IS232" s="16"/>
      <c r="IT232" s="16"/>
      <c r="IU232" s="16"/>
      <c r="IV232" s="16"/>
    </row>
    <row r="233" spans="2:256" ht="23.1" customHeight="1" x14ac:dyDescent="0.25">
      <c r="B233" s="14"/>
      <c r="C233" s="39"/>
      <c r="D233" s="40"/>
      <c r="E233" s="16"/>
      <c r="F233" s="40"/>
      <c r="G233" s="42"/>
      <c r="H233" s="42"/>
      <c r="I233" s="42"/>
      <c r="J233" s="21"/>
      <c r="K233" s="16"/>
      <c r="L233" s="16"/>
      <c r="M233" s="16"/>
      <c r="N233" s="16"/>
      <c r="O233" s="55"/>
      <c r="P233" s="55"/>
      <c r="Q233" s="55"/>
      <c r="R233" s="16"/>
      <c r="S233" s="16"/>
      <c r="T233" s="16"/>
      <c r="U233" s="68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6"/>
      <c r="CT233" s="16"/>
      <c r="CU233" s="16"/>
      <c r="CV233" s="16"/>
      <c r="CW233" s="16"/>
      <c r="CX233" s="16"/>
      <c r="CY233" s="16"/>
      <c r="CZ233" s="16"/>
      <c r="DA233" s="16"/>
      <c r="DB233" s="16"/>
      <c r="DC233" s="16"/>
      <c r="DD233" s="16"/>
      <c r="DE233" s="16"/>
      <c r="DF233" s="16"/>
      <c r="DG233" s="16"/>
      <c r="DH233" s="16"/>
      <c r="DI233" s="16"/>
      <c r="DJ233" s="16"/>
      <c r="DK233" s="16"/>
      <c r="DL233" s="16"/>
      <c r="DM233" s="16"/>
      <c r="DN233" s="16"/>
      <c r="DO233" s="16"/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  <c r="FC233" s="16"/>
      <c r="FD233" s="16"/>
      <c r="FE233" s="16"/>
      <c r="FF233" s="16"/>
      <c r="FG233" s="16"/>
      <c r="FH233" s="16"/>
      <c r="FI233" s="16"/>
      <c r="FJ233" s="16"/>
      <c r="FK233" s="16"/>
      <c r="FL233" s="16"/>
      <c r="FM233" s="16"/>
      <c r="FN233" s="16"/>
      <c r="FO233" s="16"/>
      <c r="FP233" s="16"/>
      <c r="FQ233" s="16"/>
      <c r="FR233" s="16"/>
      <c r="FS233" s="16"/>
      <c r="FT233" s="16"/>
      <c r="FU233" s="16"/>
      <c r="FV233" s="16"/>
      <c r="FW233" s="16"/>
      <c r="FX233" s="16"/>
      <c r="FY233" s="16"/>
      <c r="FZ233" s="16"/>
      <c r="GA233" s="16"/>
      <c r="GB233" s="16"/>
      <c r="GC233" s="16"/>
      <c r="GD233" s="16"/>
      <c r="GE233" s="16"/>
      <c r="GF233" s="16"/>
      <c r="GG233" s="16"/>
      <c r="GH233" s="16"/>
      <c r="GI233" s="16"/>
      <c r="GJ233" s="16"/>
      <c r="GK233" s="16"/>
      <c r="GL233" s="16"/>
      <c r="GM233" s="16"/>
      <c r="GN233" s="16"/>
      <c r="GO233" s="16"/>
      <c r="GP233" s="16"/>
      <c r="GQ233" s="16"/>
      <c r="GR233" s="16"/>
      <c r="GS233" s="16"/>
      <c r="GT233" s="16"/>
      <c r="GU233" s="16"/>
      <c r="GV233" s="16"/>
      <c r="GW233" s="16"/>
      <c r="GX233" s="16"/>
      <c r="GY233" s="16"/>
      <c r="GZ233" s="16"/>
      <c r="HA233" s="16"/>
      <c r="HB233" s="16"/>
      <c r="HC233" s="16"/>
      <c r="HD233" s="16"/>
      <c r="HE233" s="16"/>
      <c r="HF233" s="16"/>
      <c r="HG233" s="16"/>
      <c r="HH233" s="16"/>
      <c r="HI233" s="16"/>
      <c r="HJ233" s="16"/>
      <c r="HK233" s="16"/>
      <c r="HL233" s="16"/>
      <c r="HM233" s="16"/>
      <c r="HN233" s="16"/>
      <c r="HO233" s="16"/>
      <c r="HP233" s="16"/>
      <c r="HQ233" s="16"/>
      <c r="HR233" s="16"/>
      <c r="HS233" s="16"/>
      <c r="HT233" s="16"/>
      <c r="HU233" s="16"/>
      <c r="HV233" s="16"/>
      <c r="HW233" s="16"/>
      <c r="HX233" s="16"/>
      <c r="HY233" s="16"/>
      <c r="HZ233" s="16"/>
      <c r="IA233" s="16"/>
      <c r="IB233" s="16"/>
      <c r="IC233" s="16"/>
      <c r="ID233" s="16"/>
      <c r="IE233" s="16"/>
      <c r="IF233" s="16"/>
      <c r="IG233" s="16"/>
      <c r="IH233" s="16"/>
      <c r="II233" s="16"/>
      <c r="IJ233" s="16"/>
      <c r="IK233" s="16"/>
      <c r="IL233" s="16"/>
      <c r="IM233" s="16"/>
      <c r="IN233" s="16"/>
      <c r="IO233" s="16"/>
      <c r="IP233" s="16"/>
      <c r="IQ233" s="16"/>
      <c r="IR233" s="16"/>
      <c r="IS233" s="16"/>
      <c r="IT233" s="16"/>
      <c r="IU233" s="16"/>
      <c r="IV233" s="16"/>
    </row>
    <row r="234" spans="2:256" ht="23.1" customHeight="1" x14ac:dyDescent="0.25">
      <c r="B234" s="14"/>
      <c r="C234" s="39"/>
      <c r="D234" s="40"/>
      <c r="E234" s="41"/>
      <c r="F234" s="40"/>
      <c r="G234" s="42"/>
      <c r="H234" s="42"/>
      <c r="I234" s="42"/>
      <c r="J234" s="21"/>
      <c r="K234" s="16"/>
      <c r="L234" s="16"/>
      <c r="M234" s="16"/>
      <c r="N234" s="16"/>
      <c r="O234" s="55"/>
      <c r="P234" s="55"/>
      <c r="Q234" s="55"/>
      <c r="R234" s="16"/>
      <c r="S234" s="16"/>
      <c r="T234" s="16"/>
      <c r="U234" s="68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  <c r="FC234" s="16"/>
      <c r="FD234" s="16"/>
      <c r="FE234" s="16"/>
      <c r="FF234" s="16"/>
      <c r="FG234" s="16"/>
      <c r="FH234" s="16"/>
      <c r="FI234" s="16"/>
      <c r="FJ234" s="16"/>
      <c r="FK234" s="16"/>
      <c r="FL234" s="16"/>
      <c r="FM234" s="16"/>
      <c r="FN234" s="16"/>
      <c r="FO234" s="16"/>
      <c r="FP234" s="16"/>
      <c r="FQ234" s="16"/>
      <c r="FR234" s="16"/>
      <c r="FS234" s="16"/>
      <c r="FT234" s="16"/>
      <c r="FU234" s="16"/>
      <c r="FV234" s="16"/>
      <c r="FW234" s="16"/>
      <c r="FX234" s="16"/>
      <c r="FY234" s="16"/>
      <c r="FZ234" s="16"/>
      <c r="GA234" s="16"/>
      <c r="GB234" s="16"/>
      <c r="GC234" s="16"/>
      <c r="GD234" s="16"/>
      <c r="GE234" s="16"/>
      <c r="GF234" s="16"/>
      <c r="GG234" s="16"/>
      <c r="GH234" s="16"/>
      <c r="GI234" s="16"/>
      <c r="GJ234" s="16"/>
      <c r="GK234" s="16"/>
      <c r="GL234" s="16"/>
      <c r="GM234" s="16"/>
      <c r="GN234" s="16"/>
      <c r="GO234" s="16"/>
      <c r="GP234" s="16"/>
      <c r="GQ234" s="16"/>
      <c r="GR234" s="16"/>
      <c r="GS234" s="16"/>
      <c r="GT234" s="16"/>
      <c r="GU234" s="16"/>
      <c r="GV234" s="16"/>
      <c r="GW234" s="16"/>
      <c r="GX234" s="16"/>
      <c r="GY234" s="16"/>
      <c r="GZ234" s="16"/>
      <c r="HA234" s="16"/>
      <c r="HB234" s="16"/>
      <c r="HC234" s="16"/>
      <c r="HD234" s="16"/>
      <c r="HE234" s="16"/>
      <c r="HF234" s="16"/>
      <c r="HG234" s="16"/>
      <c r="HH234" s="16"/>
      <c r="HI234" s="16"/>
      <c r="HJ234" s="16"/>
      <c r="HK234" s="16"/>
      <c r="HL234" s="16"/>
      <c r="HM234" s="16"/>
      <c r="HN234" s="16"/>
      <c r="HO234" s="16"/>
      <c r="HP234" s="16"/>
      <c r="HQ234" s="16"/>
      <c r="HR234" s="16"/>
      <c r="HS234" s="16"/>
      <c r="HT234" s="16"/>
      <c r="HU234" s="16"/>
      <c r="HV234" s="16"/>
      <c r="HW234" s="16"/>
      <c r="HX234" s="16"/>
      <c r="HY234" s="16"/>
      <c r="HZ234" s="16"/>
      <c r="IA234" s="16"/>
      <c r="IB234" s="16"/>
      <c r="IC234" s="16"/>
      <c r="ID234" s="16"/>
      <c r="IE234" s="16"/>
      <c r="IF234" s="16"/>
      <c r="IG234" s="16"/>
      <c r="IH234" s="16"/>
      <c r="II234" s="16"/>
      <c r="IJ234" s="16"/>
      <c r="IK234" s="16"/>
      <c r="IL234" s="16"/>
      <c r="IM234" s="16"/>
      <c r="IN234" s="16"/>
      <c r="IO234" s="16"/>
      <c r="IP234" s="16"/>
      <c r="IQ234" s="16"/>
      <c r="IR234" s="16"/>
      <c r="IS234" s="16"/>
      <c r="IT234" s="16"/>
      <c r="IU234" s="16"/>
      <c r="IV234" s="16"/>
    </row>
    <row r="235" spans="2:256" ht="23.1" customHeight="1" x14ac:dyDescent="0.25">
      <c r="B235" s="14"/>
      <c r="C235" s="39"/>
      <c r="D235" s="40"/>
      <c r="E235" s="41"/>
      <c r="F235" s="40"/>
      <c r="G235" s="42"/>
      <c r="H235" s="42"/>
      <c r="I235" s="42"/>
      <c r="J235" s="21"/>
      <c r="K235" s="16"/>
      <c r="L235" s="16"/>
      <c r="M235" s="16"/>
      <c r="N235" s="16"/>
      <c r="O235" s="55"/>
      <c r="P235" s="55"/>
      <c r="Q235" s="55"/>
      <c r="R235" s="16"/>
      <c r="S235" s="16"/>
      <c r="T235" s="16"/>
      <c r="U235" s="68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  <c r="CY235" s="16"/>
      <c r="CZ235" s="16"/>
      <c r="DA235" s="16"/>
      <c r="DB235" s="16"/>
      <c r="DC235" s="16"/>
      <c r="DD235" s="16"/>
      <c r="DE235" s="16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  <c r="FC235" s="16"/>
      <c r="FD235" s="16"/>
      <c r="FE235" s="16"/>
      <c r="FF235" s="16"/>
      <c r="FG235" s="16"/>
      <c r="FH235" s="16"/>
      <c r="FI235" s="16"/>
      <c r="FJ235" s="16"/>
      <c r="FK235" s="16"/>
      <c r="FL235" s="16"/>
      <c r="FM235" s="16"/>
      <c r="FN235" s="16"/>
      <c r="FO235" s="16"/>
      <c r="FP235" s="16"/>
      <c r="FQ235" s="16"/>
      <c r="FR235" s="16"/>
      <c r="FS235" s="16"/>
      <c r="FT235" s="16"/>
      <c r="FU235" s="16"/>
      <c r="FV235" s="16"/>
      <c r="FW235" s="16"/>
      <c r="FX235" s="16"/>
      <c r="FY235" s="16"/>
      <c r="FZ235" s="16"/>
      <c r="GA235" s="16"/>
      <c r="GB235" s="16"/>
      <c r="GC235" s="16"/>
      <c r="GD235" s="16"/>
      <c r="GE235" s="16"/>
      <c r="GF235" s="16"/>
      <c r="GG235" s="16"/>
      <c r="GH235" s="16"/>
      <c r="GI235" s="16"/>
      <c r="GJ235" s="16"/>
      <c r="GK235" s="16"/>
      <c r="GL235" s="16"/>
      <c r="GM235" s="16"/>
      <c r="GN235" s="16"/>
      <c r="GO235" s="16"/>
      <c r="GP235" s="16"/>
      <c r="GQ235" s="16"/>
      <c r="GR235" s="16"/>
      <c r="GS235" s="16"/>
      <c r="GT235" s="16"/>
      <c r="GU235" s="16"/>
      <c r="GV235" s="16"/>
      <c r="GW235" s="16"/>
      <c r="GX235" s="16"/>
      <c r="GY235" s="16"/>
      <c r="GZ235" s="16"/>
      <c r="HA235" s="16"/>
      <c r="HB235" s="16"/>
      <c r="HC235" s="16"/>
      <c r="HD235" s="16"/>
      <c r="HE235" s="16"/>
      <c r="HF235" s="16"/>
      <c r="HG235" s="16"/>
      <c r="HH235" s="16"/>
      <c r="HI235" s="16"/>
      <c r="HJ235" s="16"/>
      <c r="HK235" s="16"/>
      <c r="HL235" s="16"/>
      <c r="HM235" s="16"/>
      <c r="HN235" s="16"/>
      <c r="HO235" s="16"/>
      <c r="HP235" s="16"/>
      <c r="HQ235" s="16"/>
      <c r="HR235" s="16"/>
      <c r="HS235" s="16"/>
      <c r="HT235" s="16"/>
      <c r="HU235" s="16"/>
      <c r="HV235" s="16"/>
      <c r="HW235" s="16"/>
      <c r="HX235" s="16"/>
      <c r="HY235" s="16"/>
      <c r="HZ235" s="16"/>
      <c r="IA235" s="16"/>
      <c r="IB235" s="16"/>
      <c r="IC235" s="16"/>
      <c r="ID235" s="16"/>
      <c r="IE235" s="16"/>
      <c r="IF235" s="16"/>
      <c r="IG235" s="16"/>
      <c r="IH235" s="16"/>
      <c r="II235" s="16"/>
      <c r="IJ235" s="16"/>
      <c r="IK235" s="16"/>
      <c r="IL235" s="16"/>
      <c r="IM235" s="16"/>
      <c r="IN235" s="16"/>
      <c r="IO235" s="16"/>
      <c r="IP235" s="16"/>
      <c r="IQ235" s="16"/>
      <c r="IR235" s="16"/>
      <c r="IS235" s="16"/>
      <c r="IT235" s="16"/>
      <c r="IU235" s="16"/>
      <c r="IV235" s="16"/>
    </row>
    <row r="236" spans="2:256" ht="23.1" customHeight="1" x14ac:dyDescent="0.25">
      <c r="B236" s="14"/>
      <c r="C236" s="39"/>
      <c r="D236" s="40"/>
      <c r="E236" s="41"/>
      <c r="F236" s="40"/>
      <c r="G236" s="42"/>
      <c r="H236" s="42"/>
      <c r="I236" s="42"/>
      <c r="J236" s="21"/>
      <c r="K236" s="16"/>
      <c r="L236" s="16"/>
      <c r="M236" s="16"/>
      <c r="N236" s="16"/>
      <c r="O236" s="55"/>
      <c r="P236" s="55"/>
      <c r="Q236" s="55"/>
      <c r="R236" s="16"/>
      <c r="S236" s="16"/>
      <c r="T236" s="16"/>
      <c r="U236" s="68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  <c r="DN236" s="16"/>
      <c r="DO236" s="16"/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/>
      <c r="FN236" s="16"/>
      <c r="FO236" s="16"/>
      <c r="FP236" s="16"/>
      <c r="FQ236" s="16"/>
      <c r="FR236" s="16"/>
      <c r="FS236" s="16"/>
      <c r="FT236" s="16"/>
      <c r="FU236" s="16"/>
      <c r="FV236" s="16"/>
      <c r="FW236" s="16"/>
      <c r="FX236" s="16"/>
      <c r="FY236" s="16"/>
      <c r="FZ236" s="16"/>
      <c r="GA236" s="16"/>
      <c r="GB236" s="16"/>
      <c r="GC236" s="16"/>
      <c r="GD236" s="16"/>
      <c r="GE236" s="16"/>
      <c r="GF236" s="16"/>
      <c r="GG236" s="16"/>
      <c r="GH236" s="16"/>
      <c r="GI236" s="16"/>
      <c r="GJ236" s="16"/>
      <c r="GK236" s="16"/>
      <c r="GL236" s="16"/>
      <c r="GM236" s="16"/>
      <c r="GN236" s="16"/>
      <c r="GO236" s="16"/>
      <c r="GP236" s="16"/>
      <c r="GQ236" s="16"/>
      <c r="GR236" s="16"/>
      <c r="GS236" s="16"/>
      <c r="GT236" s="16"/>
      <c r="GU236" s="16"/>
      <c r="GV236" s="16"/>
      <c r="GW236" s="16"/>
      <c r="GX236" s="16"/>
      <c r="GY236" s="16"/>
      <c r="GZ236" s="16"/>
      <c r="HA236" s="16"/>
      <c r="HB236" s="16"/>
      <c r="HC236" s="16"/>
      <c r="HD236" s="16"/>
      <c r="HE236" s="16"/>
      <c r="HF236" s="16"/>
      <c r="HG236" s="16"/>
      <c r="HH236" s="16"/>
      <c r="HI236" s="16"/>
      <c r="HJ236" s="16"/>
      <c r="HK236" s="16"/>
      <c r="HL236" s="16"/>
      <c r="HM236" s="16"/>
      <c r="HN236" s="16"/>
      <c r="HO236" s="16"/>
      <c r="HP236" s="16"/>
      <c r="HQ236" s="16"/>
      <c r="HR236" s="16"/>
      <c r="HS236" s="16"/>
      <c r="HT236" s="16"/>
      <c r="HU236" s="16"/>
      <c r="HV236" s="16"/>
      <c r="HW236" s="16"/>
      <c r="HX236" s="16"/>
      <c r="HY236" s="16"/>
      <c r="HZ236" s="16"/>
      <c r="IA236" s="16"/>
      <c r="IB236" s="16"/>
      <c r="IC236" s="16"/>
      <c r="ID236" s="16"/>
      <c r="IE236" s="16"/>
      <c r="IF236" s="16"/>
      <c r="IG236" s="16"/>
      <c r="IH236" s="16"/>
      <c r="II236" s="16"/>
      <c r="IJ236" s="16"/>
      <c r="IK236" s="16"/>
      <c r="IL236" s="16"/>
      <c r="IM236" s="16"/>
      <c r="IN236" s="16"/>
      <c r="IO236" s="16"/>
      <c r="IP236" s="16"/>
      <c r="IQ236" s="16"/>
      <c r="IR236" s="16"/>
      <c r="IS236" s="16"/>
      <c r="IT236" s="16"/>
      <c r="IU236" s="16"/>
      <c r="IV236" s="16"/>
    </row>
    <row r="237" spans="2:256" ht="23.1" customHeight="1" x14ac:dyDescent="0.25">
      <c r="B237" s="14"/>
      <c r="C237" s="39"/>
      <c r="D237" s="40"/>
      <c r="E237" s="16"/>
      <c r="F237" s="40"/>
      <c r="G237" s="42"/>
      <c r="H237" s="42"/>
      <c r="I237" s="42"/>
      <c r="J237" s="21"/>
      <c r="K237" s="16"/>
      <c r="L237" s="16"/>
      <c r="M237" s="16"/>
      <c r="N237" s="16"/>
      <c r="O237" s="55"/>
      <c r="P237" s="55"/>
      <c r="Q237" s="55"/>
      <c r="R237" s="16"/>
      <c r="S237" s="16"/>
      <c r="T237" s="16"/>
      <c r="U237" s="68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/>
      <c r="CF237" s="16"/>
      <c r="CG237" s="16"/>
      <c r="CH237" s="1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  <c r="CX237" s="16"/>
      <c r="CY237" s="16"/>
      <c r="CZ237" s="16"/>
      <c r="DA237" s="16"/>
      <c r="DB237" s="16"/>
      <c r="DC237" s="16"/>
      <c r="DD237" s="16"/>
      <c r="DE237" s="16"/>
      <c r="DF237" s="16"/>
      <c r="DG237" s="16"/>
      <c r="DH237" s="16"/>
      <c r="DI237" s="16"/>
      <c r="DJ237" s="16"/>
      <c r="DK237" s="16"/>
      <c r="DL237" s="16"/>
      <c r="DM237" s="16"/>
      <c r="DN237" s="16"/>
      <c r="DO237" s="16"/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/>
      <c r="FV237" s="16"/>
      <c r="FW237" s="16"/>
      <c r="FX237" s="16"/>
      <c r="FY237" s="16"/>
      <c r="FZ237" s="16"/>
      <c r="GA237" s="16"/>
      <c r="GB237" s="16"/>
      <c r="GC237" s="16"/>
      <c r="GD237" s="16"/>
      <c r="GE237" s="16"/>
      <c r="GF237" s="16"/>
      <c r="GG237" s="16"/>
      <c r="GH237" s="16"/>
      <c r="GI237" s="16"/>
      <c r="GJ237" s="16"/>
      <c r="GK237" s="16"/>
      <c r="GL237" s="16"/>
      <c r="GM237" s="16"/>
      <c r="GN237" s="16"/>
      <c r="GO237" s="16"/>
      <c r="GP237" s="16"/>
      <c r="GQ237" s="16"/>
      <c r="GR237" s="16"/>
      <c r="GS237" s="16"/>
      <c r="GT237" s="16"/>
      <c r="GU237" s="16"/>
      <c r="GV237" s="16"/>
      <c r="GW237" s="16"/>
      <c r="GX237" s="16"/>
      <c r="GY237" s="16"/>
      <c r="GZ237" s="16"/>
      <c r="HA237" s="16"/>
      <c r="HB237" s="16"/>
      <c r="HC237" s="16"/>
      <c r="HD237" s="16"/>
      <c r="HE237" s="16"/>
      <c r="HF237" s="16"/>
      <c r="HG237" s="16"/>
      <c r="HH237" s="16"/>
      <c r="HI237" s="16"/>
      <c r="HJ237" s="16"/>
      <c r="HK237" s="16"/>
      <c r="HL237" s="16"/>
      <c r="HM237" s="16"/>
      <c r="HN237" s="16"/>
      <c r="HO237" s="16"/>
      <c r="HP237" s="16"/>
      <c r="HQ237" s="16"/>
      <c r="HR237" s="16"/>
      <c r="HS237" s="16"/>
      <c r="HT237" s="16"/>
      <c r="HU237" s="16"/>
      <c r="HV237" s="16"/>
      <c r="HW237" s="16"/>
      <c r="HX237" s="16"/>
      <c r="HY237" s="16"/>
      <c r="HZ237" s="16"/>
      <c r="IA237" s="16"/>
      <c r="IB237" s="16"/>
      <c r="IC237" s="16"/>
      <c r="ID237" s="16"/>
      <c r="IE237" s="16"/>
      <c r="IF237" s="16"/>
      <c r="IG237" s="16"/>
      <c r="IH237" s="16"/>
      <c r="II237" s="16"/>
      <c r="IJ237" s="16"/>
      <c r="IK237" s="16"/>
      <c r="IL237" s="16"/>
      <c r="IM237" s="16"/>
      <c r="IN237" s="16"/>
      <c r="IO237" s="16"/>
      <c r="IP237" s="16"/>
      <c r="IQ237" s="16"/>
      <c r="IR237" s="16"/>
      <c r="IS237" s="16"/>
      <c r="IT237" s="16"/>
      <c r="IU237" s="16"/>
      <c r="IV237" s="16"/>
    </row>
    <row r="238" spans="2:256" ht="23.1" customHeight="1" x14ac:dyDescent="0.25">
      <c r="B238" s="14"/>
      <c r="C238" s="39"/>
      <c r="D238" s="40"/>
      <c r="E238" s="40"/>
      <c r="F238" s="40"/>
      <c r="G238" s="42"/>
      <c r="H238" s="42"/>
      <c r="I238" s="42"/>
      <c r="J238" s="21"/>
      <c r="K238" s="16"/>
      <c r="L238" s="16"/>
      <c r="M238" s="16"/>
      <c r="N238" s="16"/>
      <c r="O238" s="55"/>
      <c r="P238" s="55"/>
      <c r="Q238" s="55"/>
      <c r="R238" s="16"/>
      <c r="S238" s="16"/>
      <c r="T238" s="16"/>
      <c r="U238" s="68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/>
      <c r="FQ238" s="16"/>
      <c r="FR238" s="16"/>
      <c r="FS238" s="16"/>
      <c r="FT238" s="16"/>
      <c r="FU238" s="16"/>
      <c r="FV238" s="16"/>
      <c r="FW238" s="16"/>
      <c r="FX238" s="16"/>
      <c r="FY238" s="16"/>
      <c r="FZ238" s="16"/>
      <c r="GA238" s="16"/>
      <c r="GB238" s="16"/>
      <c r="GC238" s="16"/>
      <c r="GD238" s="16"/>
      <c r="GE238" s="16"/>
      <c r="GF238" s="16"/>
      <c r="GG238" s="16"/>
      <c r="GH238" s="16"/>
      <c r="GI238" s="16"/>
      <c r="GJ238" s="16"/>
      <c r="GK238" s="16"/>
      <c r="GL238" s="16"/>
      <c r="GM238" s="16"/>
      <c r="GN238" s="16"/>
      <c r="GO238" s="16"/>
      <c r="GP238" s="16"/>
      <c r="GQ238" s="16"/>
      <c r="GR238" s="16"/>
      <c r="GS238" s="16"/>
      <c r="GT238" s="16"/>
      <c r="GU238" s="16"/>
      <c r="GV238" s="16"/>
      <c r="GW238" s="16"/>
      <c r="GX238" s="16"/>
      <c r="GY238" s="16"/>
      <c r="GZ238" s="16"/>
      <c r="HA238" s="16"/>
      <c r="HB238" s="16"/>
      <c r="HC238" s="16"/>
      <c r="HD238" s="16"/>
      <c r="HE238" s="16"/>
      <c r="HF238" s="16"/>
      <c r="HG238" s="16"/>
      <c r="HH238" s="16"/>
      <c r="HI238" s="16"/>
      <c r="HJ238" s="16"/>
      <c r="HK238" s="16"/>
      <c r="HL238" s="16"/>
      <c r="HM238" s="16"/>
      <c r="HN238" s="16"/>
      <c r="HO238" s="16"/>
      <c r="HP238" s="16"/>
      <c r="HQ238" s="16"/>
      <c r="HR238" s="16"/>
      <c r="HS238" s="16"/>
      <c r="HT238" s="16"/>
      <c r="HU238" s="16"/>
      <c r="HV238" s="16"/>
      <c r="HW238" s="16"/>
      <c r="HX238" s="16"/>
      <c r="HY238" s="16"/>
      <c r="HZ238" s="16"/>
      <c r="IA238" s="16"/>
      <c r="IB238" s="16"/>
      <c r="IC238" s="16"/>
      <c r="ID238" s="16"/>
      <c r="IE238" s="16"/>
      <c r="IF238" s="16"/>
      <c r="IG238" s="16"/>
      <c r="IH238" s="16"/>
      <c r="II238" s="16"/>
      <c r="IJ238" s="16"/>
      <c r="IK238" s="16"/>
      <c r="IL238" s="16"/>
      <c r="IM238" s="16"/>
      <c r="IN238" s="16"/>
      <c r="IO238" s="16"/>
      <c r="IP238" s="16"/>
      <c r="IQ238" s="16"/>
      <c r="IR238" s="16"/>
      <c r="IS238" s="16"/>
      <c r="IT238" s="16"/>
      <c r="IU238" s="16"/>
      <c r="IV238" s="16"/>
    </row>
    <row r="239" spans="2:256" ht="23.1" customHeight="1" x14ac:dyDescent="0.25">
      <c r="B239" s="14"/>
      <c r="C239" s="39"/>
      <c r="D239" s="40"/>
      <c r="E239" s="40"/>
      <c r="F239" s="40"/>
      <c r="G239" s="42"/>
      <c r="H239" s="42"/>
      <c r="I239" s="42"/>
      <c r="J239" s="21"/>
      <c r="K239" s="16"/>
      <c r="L239" s="16"/>
      <c r="M239" s="16"/>
      <c r="N239" s="16"/>
      <c r="O239" s="55"/>
      <c r="P239" s="55"/>
      <c r="Q239" s="55"/>
      <c r="R239" s="16"/>
      <c r="S239" s="16"/>
      <c r="T239" s="16"/>
      <c r="U239" s="68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G239" s="16"/>
      <c r="FH239" s="16"/>
      <c r="FI239" s="16"/>
      <c r="FJ239" s="16"/>
      <c r="FK239" s="16"/>
      <c r="FL239" s="16"/>
      <c r="FM239" s="16"/>
      <c r="FN239" s="16"/>
      <c r="FO239" s="16"/>
      <c r="FP239" s="16"/>
      <c r="FQ239" s="16"/>
      <c r="FR239" s="16"/>
      <c r="FS239" s="16"/>
      <c r="FT239" s="16"/>
      <c r="FU239" s="16"/>
      <c r="FV239" s="16"/>
      <c r="FW239" s="16"/>
      <c r="FX239" s="16"/>
      <c r="FY239" s="16"/>
      <c r="FZ239" s="16"/>
      <c r="GA239" s="16"/>
      <c r="GB239" s="16"/>
      <c r="GC239" s="16"/>
      <c r="GD239" s="16"/>
      <c r="GE239" s="16"/>
      <c r="GF239" s="16"/>
      <c r="GG239" s="16"/>
      <c r="GH239" s="16"/>
      <c r="GI239" s="16"/>
      <c r="GJ239" s="16"/>
      <c r="GK239" s="16"/>
      <c r="GL239" s="16"/>
      <c r="GM239" s="16"/>
      <c r="GN239" s="16"/>
      <c r="GO239" s="16"/>
      <c r="GP239" s="16"/>
      <c r="GQ239" s="16"/>
      <c r="GR239" s="16"/>
      <c r="GS239" s="16"/>
      <c r="GT239" s="16"/>
      <c r="GU239" s="16"/>
      <c r="GV239" s="16"/>
      <c r="GW239" s="16"/>
      <c r="GX239" s="16"/>
      <c r="GY239" s="16"/>
      <c r="GZ239" s="16"/>
      <c r="HA239" s="16"/>
      <c r="HB239" s="16"/>
      <c r="HC239" s="16"/>
      <c r="HD239" s="16"/>
      <c r="HE239" s="16"/>
      <c r="HF239" s="16"/>
      <c r="HG239" s="16"/>
      <c r="HH239" s="16"/>
      <c r="HI239" s="16"/>
      <c r="HJ239" s="16"/>
      <c r="HK239" s="16"/>
      <c r="HL239" s="16"/>
      <c r="HM239" s="16"/>
      <c r="HN239" s="16"/>
      <c r="HO239" s="16"/>
      <c r="HP239" s="16"/>
      <c r="HQ239" s="16"/>
      <c r="HR239" s="16"/>
      <c r="HS239" s="16"/>
      <c r="HT239" s="16"/>
      <c r="HU239" s="16"/>
      <c r="HV239" s="16"/>
      <c r="HW239" s="16"/>
      <c r="HX239" s="16"/>
      <c r="HY239" s="16"/>
      <c r="HZ239" s="16"/>
      <c r="IA239" s="16"/>
      <c r="IB239" s="16"/>
      <c r="IC239" s="16"/>
      <c r="ID239" s="16"/>
      <c r="IE239" s="16"/>
      <c r="IF239" s="16"/>
      <c r="IG239" s="16"/>
      <c r="IH239" s="16"/>
      <c r="II239" s="16"/>
      <c r="IJ239" s="16"/>
      <c r="IK239" s="16"/>
      <c r="IL239" s="16"/>
      <c r="IM239" s="16"/>
      <c r="IN239" s="16"/>
      <c r="IO239" s="16"/>
      <c r="IP239" s="16"/>
      <c r="IQ239" s="16"/>
      <c r="IR239" s="16"/>
      <c r="IS239" s="16"/>
      <c r="IT239" s="16"/>
      <c r="IU239" s="16"/>
      <c r="IV239" s="16"/>
    </row>
    <row r="240" spans="2:256" ht="23.1" customHeight="1" x14ac:dyDescent="0.25">
      <c r="B240" s="14"/>
      <c r="C240" s="39"/>
      <c r="D240" s="40"/>
      <c r="E240" s="40"/>
      <c r="F240" s="40"/>
      <c r="G240" s="42"/>
      <c r="H240" s="42"/>
      <c r="I240" s="42"/>
      <c r="J240" s="21"/>
      <c r="K240" s="16"/>
      <c r="L240" s="16"/>
      <c r="M240" s="16"/>
      <c r="N240" s="16"/>
      <c r="O240" s="55"/>
      <c r="P240" s="55"/>
      <c r="Q240" s="55"/>
      <c r="R240" s="16"/>
      <c r="S240" s="16"/>
      <c r="T240" s="16"/>
      <c r="U240" s="68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G240" s="16"/>
      <c r="FH240" s="16"/>
      <c r="FI240" s="16"/>
      <c r="FJ240" s="16"/>
      <c r="FK240" s="16"/>
      <c r="FL240" s="16"/>
      <c r="FM240" s="16"/>
      <c r="FN240" s="16"/>
      <c r="FO240" s="16"/>
      <c r="FP240" s="16"/>
      <c r="FQ240" s="16"/>
      <c r="FR240" s="16"/>
      <c r="FS240" s="16"/>
      <c r="FT240" s="16"/>
      <c r="FU240" s="16"/>
      <c r="FV240" s="16"/>
      <c r="FW240" s="16"/>
      <c r="FX240" s="16"/>
      <c r="FY240" s="16"/>
      <c r="FZ240" s="16"/>
      <c r="GA240" s="16"/>
      <c r="GB240" s="16"/>
      <c r="GC240" s="16"/>
      <c r="GD240" s="16"/>
      <c r="GE240" s="16"/>
      <c r="GF240" s="16"/>
      <c r="GG240" s="16"/>
      <c r="GH240" s="16"/>
      <c r="GI240" s="16"/>
      <c r="GJ240" s="16"/>
      <c r="GK240" s="16"/>
      <c r="GL240" s="16"/>
      <c r="GM240" s="16"/>
      <c r="GN240" s="16"/>
      <c r="GO240" s="16"/>
      <c r="GP240" s="16"/>
      <c r="GQ240" s="16"/>
      <c r="GR240" s="16"/>
      <c r="GS240" s="16"/>
      <c r="GT240" s="16"/>
      <c r="GU240" s="16"/>
      <c r="GV240" s="16"/>
      <c r="GW240" s="16"/>
      <c r="GX240" s="16"/>
      <c r="GY240" s="16"/>
      <c r="GZ240" s="16"/>
      <c r="HA240" s="16"/>
      <c r="HB240" s="16"/>
      <c r="HC240" s="16"/>
      <c r="HD240" s="16"/>
      <c r="HE240" s="16"/>
      <c r="HF240" s="16"/>
      <c r="HG240" s="16"/>
      <c r="HH240" s="16"/>
      <c r="HI240" s="16"/>
      <c r="HJ240" s="16"/>
      <c r="HK240" s="16"/>
      <c r="HL240" s="16"/>
      <c r="HM240" s="16"/>
      <c r="HN240" s="16"/>
      <c r="HO240" s="16"/>
      <c r="HP240" s="16"/>
      <c r="HQ240" s="16"/>
      <c r="HR240" s="16"/>
      <c r="HS240" s="16"/>
      <c r="HT240" s="16"/>
      <c r="HU240" s="16"/>
      <c r="HV240" s="16"/>
      <c r="HW240" s="16"/>
      <c r="HX240" s="16"/>
      <c r="HY240" s="16"/>
      <c r="HZ240" s="16"/>
      <c r="IA240" s="16"/>
      <c r="IB240" s="16"/>
      <c r="IC240" s="16"/>
      <c r="ID240" s="16"/>
      <c r="IE240" s="16"/>
      <c r="IF240" s="16"/>
      <c r="IG240" s="16"/>
      <c r="IH240" s="16"/>
      <c r="II240" s="16"/>
      <c r="IJ240" s="16"/>
      <c r="IK240" s="16"/>
      <c r="IL240" s="16"/>
      <c r="IM240" s="16"/>
      <c r="IN240" s="16"/>
      <c r="IO240" s="16"/>
      <c r="IP240" s="16"/>
      <c r="IQ240" s="16"/>
      <c r="IR240" s="16"/>
      <c r="IS240" s="16"/>
      <c r="IT240" s="16"/>
      <c r="IU240" s="16"/>
      <c r="IV240" s="16"/>
    </row>
    <row r="241" spans="2:256" ht="23.1" customHeight="1" x14ac:dyDescent="0.25">
      <c r="B241" s="14"/>
      <c r="C241" s="39"/>
      <c r="D241" s="40"/>
      <c r="E241" s="40"/>
      <c r="F241" s="40"/>
      <c r="G241" s="42"/>
      <c r="H241" s="42"/>
      <c r="I241" s="42"/>
      <c r="J241" s="21"/>
      <c r="K241" s="16"/>
      <c r="L241" s="16"/>
      <c r="M241" s="16"/>
      <c r="N241" s="16"/>
      <c r="O241" s="55"/>
      <c r="P241" s="55"/>
      <c r="Q241" s="55"/>
      <c r="R241" s="16"/>
      <c r="S241" s="16"/>
      <c r="T241" s="16"/>
      <c r="U241" s="68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  <c r="CA241" s="16"/>
      <c r="CB241" s="16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6"/>
      <c r="CP241" s="16"/>
      <c r="CQ241" s="16"/>
      <c r="CR241" s="16"/>
      <c r="CS241" s="16"/>
      <c r="CT241" s="16"/>
      <c r="CU241" s="16"/>
      <c r="CV241" s="16"/>
      <c r="CW241" s="16"/>
      <c r="CX241" s="16"/>
      <c r="CY241" s="16"/>
      <c r="CZ241" s="16"/>
      <c r="DA241" s="16"/>
      <c r="DB241" s="16"/>
      <c r="DC241" s="16"/>
      <c r="DD241" s="16"/>
      <c r="DE241" s="16"/>
      <c r="DF241" s="16"/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  <c r="FC241" s="16"/>
      <c r="FD241" s="16"/>
      <c r="FE241" s="16"/>
      <c r="FF241" s="16"/>
      <c r="FG241" s="16"/>
      <c r="FH241" s="16"/>
      <c r="FI241" s="16"/>
      <c r="FJ241" s="16"/>
      <c r="FK241" s="16"/>
      <c r="FL241" s="16"/>
      <c r="FM241" s="16"/>
      <c r="FN241" s="16"/>
      <c r="FO241" s="16"/>
      <c r="FP241" s="16"/>
      <c r="FQ241" s="16"/>
      <c r="FR241" s="16"/>
      <c r="FS241" s="16"/>
      <c r="FT241" s="16"/>
      <c r="FU241" s="16"/>
      <c r="FV241" s="16"/>
      <c r="FW241" s="16"/>
      <c r="FX241" s="16"/>
      <c r="FY241" s="16"/>
      <c r="FZ241" s="16"/>
      <c r="GA241" s="16"/>
      <c r="GB241" s="16"/>
      <c r="GC241" s="16"/>
      <c r="GD241" s="16"/>
      <c r="GE241" s="16"/>
      <c r="GF241" s="16"/>
      <c r="GG241" s="16"/>
      <c r="GH241" s="16"/>
      <c r="GI241" s="16"/>
      <c r="GJ241" s="16"/>
      <c r="GK241" s="16"/>
      <c r="GL241" s="16"/>
      <c r="GM241" s="16"/>
      <c r="GN241" s="16"/>
      <c r="GO241" s="16"/>
      <c r="GP241" s="16"/>
      <c r="GQ241" s="16"/>
      <c r="GR241" s="16"/>
      <c r="GS241" s="16"/>
      <c r="GT241" s="16"/>
      <c r="GU241" s="16"/>
      <c r="GV241" s="16"/>
      <c r="GW241" s="16"/>
      <c r="GX241" s="16"/>
      <c r="GY241" s="16"/>
      <c r="GZ241" s="16"/>
      <c r="HA241" s="16"/>
      <c r="HB241" s="16"/>
      <c r="HC241" s="16"/>
      <c r="HD241" s="16"/>
      <c r="HE241" s="16"/>
      <c r="HF241" s="16"/>
      <c r="HG241" s="16"/>
      <c r="HH241" s="16"/>
      <c r="HI241" s="16"/>
      <c r="HJ241" s="16"/>
      <c r="HK241" s="16"/>
      <c r="HL241" s="16"/>
      <c r="HM241" s="16"/>
      <c r="HN241" s="16"/>
      <c r="HO241" s="16"/>
      <c r="HP241" s="16"/>
      <c r="HQ241" s="16"/>
      <c r="HR241" s="16"/>
      <c r="HS241" s="16"/>
      <c r="HT241" s="16"/>
      <c r="HU241" s="16"/>
      <c r="HV241" s="16"/>
      <c r="HW241" s="16"/>
      <c r="HX241" s="16"/>
      <c r="HY241" s="16"/>
      <c r="HZ241" s="16"/>
      <c r="IA241" s="16"/>
      <c r="IB241" s="16"/>
      <c r="IC241" s="16"/>
      <c r="ID241" s="16"/>
      <c r="IE241" s="16"/>
      <c r="IF241" s="16"/>
      <c r="IG241" s="16"/>
      <c r="IH241" s="16"/>
      <c r="II241" s="16"/>
      <c r="IJ241" s="16"/>
      <c r="IK241" s="16"/>
      <c r="IL241" s="16"/>
      <c r="IM241" s="16"/>
      <c r="IN241" s="16"/>
      <c r="IO241" s="16"/>
      <c r="IP241" s="16"/>
      <c r="IQ241" s="16"/>
      <c r="IR241" s="16"/>
      <c r="IS241" s="16"/>
      <c r="IT241" s="16"/>
      <c r="IU241" s="16"/>
      <c r="IV241" s="16"/>
    </row>
    <row r="242" spans="2:256" ht="23.1" customHeight="1" x14ac:dyDescent="0.25">
      <c r="B242" s="14"/>
      <c r="C242" s="39"/>
      <c r="D242" s="40"/>
      <c r="E242" s="40"/>
      <c r="F242" s="40"/>
      <c r="G242" s="42"/>
      <c r="H242" s="42"/>
      <c r="I242" s="42"/>
      <c r="J242" s="21"/>
      <c r="K242" s="16"/>
      <c r="L242" s="16"/>
      <c r="M242" s="16"/>
      <c r="N242" s="16"/>
      <c r="O242" s="55"/>
      <c r="P242" s="55"/>
      <c r="Q242" s="55"/>
      <c r="R242" s="16"/>
      <c r="S242" s="16"/>
      <c r="T242" s="16"/>
      <c r="U242" s="68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16"/>
      <c r="FU242" s="16"/>
      <c r="FV242" s="16"/>
      <c r="FW242" s="16"/>
      <c r="FX242" s="16"/>
      <c r="FY242" s="16"/>
      <c r="FZ242" s="16"/>
      <c r="GA242" s="16"/>
      <c r="GB242" s="16"/>
      <c r="GC242" s="16"/>
      <c r="GD242" s="16"/>
      <c r="GE242" s="16"/>
      <c r="GF242" s="16"/>
      <c r="GG242" s="16"/>
      <c r="GH242" s="16"/>
      <c r="GI242" s="16"/>
      <c r="GJ242" s="16"/>
      <c r="GK242" s="16"/>
      <c r="GL242" s="16"/>
      <c r="GM242" s="16"/>
      <c r="GN242" s="16"/>
      <c r="GO242" s="16"/>
      <c r="GP242" s="16"/>
      <c r="GQ242" s="16"/>
      <c r="GR242" s="16"/>
      <c r="GS242" s="16"/>
      <c r="GT242" s="16"/>
      <c r="GU242" s="16"/>
      <c r="GV242" s="16"/>
      <c r="GW242" s="16"/>
      <c r="GX242" s="16"/>
      <c r="GY242" s="16"/>
      <c r="GZ242" s="16"/>
      <c r="HA242" s="16"/>
      <c r="HB242" s="16"/>
      <c r="HC242" s="16"/>
      <c r="HD242" s="16"/>
      <c r="HE242" s="16"/>
      <c r="HF242" s="16"/>
      <c r="HG242" s="16"/>
      <c r="HH242" s="16"/>
      <c r="HI242" s="16"/>
      <c r="HJ242" s="16"/>
      <c r="HK242" s="16"/>
      <c r="HL242" s="16"/>
      <c r="HM242" s="16"/>
      <c r="HN242" s="16"/>
      <c r="HO242" s="16"/>
      <c r="HP242" s="16"/>
      <c r="HQ242" s="16"/>
      <c r="HR242" s="16"/>
      <c r="HS242" s="16"/>
      <c r="HT242" s="16"/>
      <c r="HU242" s="16"/>
      <c r="HV242" s="16"/>
      <c r="HW242" s="16"/>
      <c r="HX242" s="16"/>
      <c r="HY242" s="16"/>
      <c r="HZ242" s="16"/>
      <c r="IA242" s="16"/>
      <c r="IB242" s="16"/>
      <c r="IC242" s="16"/>
      <c r="ID242" s="16"/>
      <c r="IE242" s="16"/>
      <c r="IF242" s="16"/>
      <c r="IG242" s="16"/>
      <c r="IH242" s="16"/>
      <c r="II242" s="16"/>
      <c r="IJ242" s="16"/>
      <c r="IK242" s="16"/>
      <c r="IL242" s="16"/>
      <c r="IM242" s="16"/>
      <c r="IN242" s="16"/>
      <c r="IO242" s="16"/>
      <c r="IP242" s="16"/>
      <c r="IQ242" s="16"/>
      <c r="IR242" s="16"/>
      <c r="IS242" s="16"/>
      <c r="IT242" s="16"/>
      <c r="IU242" s="16"/>
      <c r="IV242" s="16"/>
    </row>
    <row r="243" spans="2:256" ht="23.1" customHeight="1" x14ac:dyDescent="0.25">
      <c r="B243" s="14"/>
      <c r="C243" s="39"/>
      <c r="D243" s="40"/>
      <c r="E243" s="40"/>
      <c r="F243" s="40"/>
      <c r="G243" s="42"/>
      <c r="H243" s="42"/>
      <c r="I243" s="42"/>
      <c r="J243" s="21"/>
      <c r="K243" s="16"/>
      <c r="L243" s="16"/>
      <c r="M243" s="16"/>
      <c r="N243" s="16"/>
      <c r="O243" s="55"/>
      <c r="P243" s="55"/>
      <c r="Q243" s="55"/>
      <c r="R243" s="16"/>
      <c r="S243" s="16"/>
      <c r="T243" s="16"/>
      <c r="U243" s="68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  <c r="FC243" s="16"/>
      <c r="FD243" s="16"/>
      <c r="FE243" s="16"/>
      <c r="FF243" s="16"/>
      <c r="FG243" s="16"/>
      <c r="FH243" s="16"/>
      <c r="FI243" s="16"/>
      <c r="FJ243" s="16"/>
      <c r="FK243" s="16"/>
      <c r="FL243" s="16"/>
      <c r="FM243" s="16"/>
      <c r="FN243" s="16"/>
      <c r="FO243" s="16"/>
      <c r="FP243" s="16"/>
      <c r="FQ243" s="16"/>
      <c r="FR243" s="16"/>
      <c r="FS243" s="16"/>
      <c r="FT243" s="16"/>
      <c r="FU243" s="16"/>
      <c r="FV243" s="16"/>
      <c r="FW243" s="16"/>
      <c r="FX243" s="16"/>
      <c r="FY243" s="16"/>
      <c r="FZ243" s="16"/>
      <c r="GA243" s="16"/>
      <c r="GB243" s="16"/>
      <c r="GC243" s="16"/>
      <c r="GD243" s="16"/>
      <c r="GE243" s="16"/>
      <c r="GF243" s="16"/>
      <c r="GG243" s="16"/>
      <c r="GH243" s="16"/>
      <c r="GI243" s="16"/>
      <c r="GJ243" s="16"/>
      <c r="GK243" s="16"/>
      <c r="GL243" s="16"/>
      <c r="GM243" s="16"/>
      <c r="GN243" s="16"/>
      <c r="GO243" s="16"/>
      <c r="GP243" s="16"/>
      <c r="GQ243" s="16"/>
      <c r="GR243" s="16"/>
      <c r="GS243" s="16"/>
      <c r="GT243" s="16"/>
      <c r="GU243" s="16"/>
      <c r="GV243" s="16"/>
      <c r="GW243" s="16"/>
      <c r="GX243" s="16"/>
      <c r="GY243" s="16"/>
      <c r="GZ243" s="16"/>
      <c r="HA243" s="16"/>
      <c r="HB243" s="16"/>
      <c r="HC243" s="16"/>
      <c r="HD243" s="16"/>
      <c r="HE243" s="16"/>
      <c r="HF243" s="16"/>
      <c r="HG243" s="16"/>
      <c r="HH243" s="16"/>
      <c r="HI243" s="16"/>
      <c r="HJ243" s="16"/>
      <c r="HK243" s="16"/>
      <c r="HL243" s="16"/>
      <c r="HM243" s="16"/>
      <c r="HN243" s="16"/>
      <c r="HO243" s="16"/>
      <c r="HP243" s="16"/>
      <c r="HQ243" s="16"/>
      <c r="HR243" s="16"/>
      <c r="HS243" s="16"/>
      <c r="HT243" s="16"/>
      <c r="HU243" s="16"/>
      <c r="HV243" s="16"/>
      <c r="HW243" s="16"/>
      <c r="HX243" s="16"/>
      <c r="HY243" s="16"/>
      <c r="HZ243" s="16"/>
      <c r="IA243" s="16"/>
      <c r="IB243" s="16"/>
      <c r="IC243" s="16"/>
      <c r="ID243" s="16"/>
      <c r="IE243" s="16"/>
      <c r="IF243" s="16"/>
      <c r="IG243" s="16"/>
      <c r="IH243" s="16"/>
      <c r="II243" s="16"/>
      <c r="IJ243" s="16"/>
      <c r="IK243" s="16"/>
      <c r="IL243" s="16"/>
      <c r="IM243" s="16"/>
      <c r="IN243" s="16"/>
      <c r="IO243" s="16"/>
      <c r="IP243" s="16"/>
      <c r="IQ243" s="16"/>
      <c r="IR243" s="16"/>
      <c r="IS243" s="16"/>
      <c r="IT243" s="16"/>
      <c r="IU243" s="16"/>
      <c r="IV243" s="16"/>
    </row>
    <row r="244" spans="2:256" ht="23.1" customHeight="1" x14ac:dyDescent="0.25">
      <c r="B244" s="14"/>
      <c r="C244" s="39"/>
      <c r="D244" s="40"/>
      <c r="E244" s="40"/>
      <c r="F244" s="40"/>
      <c r="G244" s="42"/>
      <c r="H244" s="42"/>
      <c r="I244" s="42"/>
      <c r="J244" s="14"/>
      <c r="K244" s="14"/>
      <c r="L244" s="14"/>
      <c r="M244" s="14"/>
      <c r="N244" s="14"/>
      <c r="O244" s="51"/>
      <c r="P244" s="51"/>
      <c r="Q244" s="51"/>
      <c r="R244" s="14"/>
      <c r="S244" s="14"/>
      <c r="T244" s="14"/>
      <c r="U244" s="69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  <c r="FO244" s="14"/>
      <c r="FP244" s="14"/>
      <c r="FQ244" s="14"/>
      <c r="FR244" s="14"/>
      <c r="FS244" s="14"/>
      <c r="FT244" s="14"/>
      <c r="FU244" s="14"/>
      <c r="FV244" s="14"/>
      <c r="FW244" s="14"/>
      <c r="FX244" s="14"/>
      <c r="FY244" s="14"/>
      <c r="FZ244" s="14"/>
      <c r="GA244" s="14"/>
      <c r="GB244" s="14"/>
      <c r="GC244" s="14"/>
      <c r="GD244" s="14"/>
      <c r="GE244" s="14"/>
      <c r="GF244" s="14"/>
      <c r="GG244" s="14"/>
      <c r="GH244" s="14"/>
      <c r="GI244" s="14"/>
      <c r="GJ244" s="14"/>
      <c r="GK244" s="14"/>
      <c r="GL244" s="14"/>
      <c r="GM244" s="14"/>
      <c r="GN244" s="14"/>
      <c r="GO244" s="14"/>
      <c r="GP244" s="14"/>
      <c r="GQ244" s="14"/>
      <c r="GR244" s="14"/>
      <c r="GS244" s="14"/>
      <c r="GT244" s="14"/>
      <c r="GU244" s="14"/>
      <c r="GV244" s="14"/>
      <c r="GW244" s="14"/>
      <c r="GX244" s="14"/>
      <c r="GY244" s="14"/>
      <c r="GZ244" s="14"/>
      <c r="HA244" s="14"/>
      <c r="HB244" s="14"/>
      <c r="HC244" s="14"/>
      <c r="HD244" s="14"/>
      <c r="HE244" s="14"/>
      <c r="HF244" s="14"/>
      <c r="HG244" s="14"/>
      <c r="HH244" s="14"/>
      <c r="HI244" s="14"/>
      <c r="HJ244" s="14"/>
      <c r="HK244" s="14"/>
      <c r="HL244" s="14"/>
      <c r="HM244" s="14"/>
      <c r="HN244" s="14"/>
      <c r="HO244" s="14"/>
      <c r="HP244" s="14"/>
      <c r="HQ244" s="14"/>
      <c r="HR244" s="14"/>
      <c r="HS244" s="14"/>
      <c r="HT244" s="14"/>
      <c r="HU244" s="14"/>
      <c r="HV244" s="14"/>
      <c r="HW244" s="14"/>
      <c r="HX244" s="14"/>
      <c r="HY244" s="14"/>
      <c r="HZ244" s="14"/>
      <c r="IA244" s="14"/>
      <c r="IB244" s="14"/>
      <c r="IC244" s="14"/>
      <c r="ID244" s="14"/>
      <c r="IE244" s="14"/>
      <c r="IF244" s="14"/>
      <c r="IG244" s="14"/>
      <c r="IH244" s="14"/>
      <c r="II244" s="14"/>
      <c r="IJ244" s="14"/>
      <c r="IK244" s="14"/>
      <c r="IL244" s="14"/>
      <c r="IM244" s="14"/>
      <c r="IN244" s="14"/>
      <c r="IO244" s="14"/>
      <c r="IP244" s="14"/>
      <c r="IQ244" s="14"/>
      <c r="IR244" s="14"/>
      <c r="IS244" s="14"/>
      <c r="IT244" s="14"/>
      <c r="IU244" s="14"/>
      <c r="IV244" s="14"/>
    </row>
    <row r="245" spans="2:256" ht="23.1" customHeight="1" x14ac:dyDescent="0.25">
      <c r="B245" s="14"/>
      <c r="C245" s="39"/>
      <c r="D245" s="40"/>
      <c r="E245" s="40"/>
      <c r="F245" s="40"/>
      <c r="G245" s="42"/>
      <c r="H245" s="42"/>
      <c r="I245" s="42"/>
      <c r="J245" s="14"/>
      <c r="K245" s="14"/>
      <c r="L245" s="14"/>
      <c r="M245" s="14"/>
      <c r="N245" s="14"/>
      <c r="O245" s="51"/>
      <c r="P245" s="51"/>
      <c r="Q245" s="51"/>
      <c r="R245" s="14"/>
      <c r="S245" s="14"/>
      <c r="T245" s="14"/>
      <c r="U245" s="69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  <c r="FO245" s="14"/>
      <c r="FP245" s="14"/>
      <c r="FQ245" s="14"/>
      <c r="FR245" s="14"/>
      <c r="FS245" s="14"/>
      <c r="FT245" s="14"/>
      <c r="FU245" s="14"/>
      <c r="FV245" s="14"/>
      <c r="FW245" s="14"/>
      <c r="FX245" s="14"/>
      <c r="FY245" s="14"/>
      <c r="FZ245" s="14"/>
      <c r="GA245" s="14"/>
      <c r="GB245" s="14"/>
      <c r="GC245" s="14"/>
      <c r="GD245" s="14"/>
      <c r="GE245" s="14"/>
      <c r="GF245" s="14"/>
      <c r="GG245" s="14"/>
      <c r="GH245" s="14"/>
      <c r="GI245" s="14"/>
      <c r="GJ245" s="14"/>
      <c r="GK245" s="14"/>
      <c r="GL245" s="14"/>
      <c r="GM245" s="14"/>
      <c r="GN245" s="14"/>
      <c r="GO245" s="14"/>
      <c r="GP245" s="14"/>
      <c r="GQ245" s="14"/>
      <c r="GR245" s="14"/>
      <c r="GS245" s="14"/>
      <c r="GT245" s="14"/>
      <c r="GU245" s="14"/>
      <c r="GV245" s="14"/>
      <c r="GW245" s="14"/>
      <c r="GX245" s="14"/>
      <c r="GY245" s="14"/>
      <c r="GZ245" s="14"/>
      <c r="HA245" s="14"/>
      <c r="HB245" s="14"/>
      <c r="HC245" s="14"/>
      <c r="HD245" s="14"/>
      <c r="HE245" s="14"/>
      <c r="HF245" s="14"/>
      <c r="HG245" s="14"/>
      <c r="HH245" s="14"/>
      <c r="HI245" s="14"/>
      <c r="HJ245" s="14"/>
      <c r="HK245" s="14"/>
      <c r="HL245" s="14"/>
      <c r="HM245" s="14"/>
      <c r="HN245" s="14"/>
      <c r="HO245" s="14"/>
      <c r="HP245" s="14"/>
      <c r="HQ245" s="14"/>
      <c r="HR245" s="14"/>
      <c r="HS245" s="14"/>
      <c r="HT245" s="14"/>
      <c r="HU245" s="14"/>
      <c r="HV245" s="14"/>
      <c r="HW245" s="14"/>
      <c r="HX245" s="14"/>
      <c r="HY245" s="14"/>
      <c r="HZ245" s="14"/>
      <c r="IA245" s="14"/>
      <c r="IB245" s="14"/>
      <c r="IC245" s="14"/>
      <c r="ID245" s="14"/>
      <c r="IE245" s="14"/>
      <c r="IF245" s="14"/>
      <c r="IG245" s="14"/>
      <c r="IH245" s="14"/>
      <c r="II245" s="14"/>
      <c r="IJ245" s="14"/>
      <c r="IK245" s="14"/>
      <c r="IL245" s="14"/>
      <c r="IM245" s="14"/>
      <c r="IN245" s="14"/>
      <c r="IO245" s="14"/>
      <c r="IP245" s="14"/>
      <c r="IQ245" s="14"/>
      <c r="IR245" s="14"/>
      <c r="IS245" s="14"/>
      <c r="IT245" s="14"/>
      <c r="IU245" s="14"/>
      <c r="IV245" s="14"/>
    </row>
    <row r="246" spans="2:256" ht="23.1" customHeight="1" x14ac:dyDescent="0.25">
      <c r="B246" s="14"/>
      <c r="C246" s="39"/>
      <c r="D246" s="40"/>
      <c r="E246" s="40"/>
      <c r="F246" s="40"/>
      <c r="G246" s="42"/>
      <c r="H246" s="42"/>
      <c r="I246" s="42"/>
      <c r="J246" s="14"/>
      <c r="K246" s="14"/>
      <c r="L246" s="14"/>
      <c r="M246" s="14"/>
      <c r="N246" s="14"/>
      <c r="O246" s="51"/>
      <c r="P246" s="51"/>
      <c r="Q246" s="51"/>
      <c r="R246" s="14"/>
      <c r="S246" s="14"/>
      <c r="T246" s="14"/>
      <c r="U246" s="69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  <c r="FG246" s="14"/>
      <c r="FH246" s="14"/>
      <c r="FI246" s="14"/>
      <c r="FJ246" s="14"/>
      <c r="FK246" s="14"/>
      <c r="FL246" s="14"/>
      <c r="FM246" s="14"/>
      <c r="FN246" s="14"/>
      <c r="FO246" s="14"/>
      <c r="FP246" s="14"/>
      <c r="FQ246" s="14"/>
      <c r="FR246" s="14"/>
      <c r="FS246" s="14"/>
      <c r="FT246" s="14"/>
      <c r="FU246" s="14"/>
      <c r="FV246" s="14"/>
      <c r="FW246" s="14"/>
      <c r="FX246" s="14"/>
      <c r="FY246" s="14"/>
      <c r="FZ246" s="14"/>
      <c r="GA246" s="14"/>
      <c r="GB246" s="14"/>
      <c r="GC246" s="14"/>
      <c r="GD246" s="14"/>
      <c r="GE246" s="14"/>
      <c r="GF246" s="14"/>
      <c r="GG246" s="14"/>
      <c r="GH246" s="14"/>
      <c r="GI246" s="14"/>
      <c r="GJ246" s="14"/>
      <c r="GK246" s="14"/>
      <c r="GL246" s="14"/>
      <c r="GM246" s="14"/>
      <c r="GN246" s="14"/>
      <c r="GO246" s="14"/>
      <c r="GP246" s="14"/>
      <c r="GQ246" s="14"/>
      <c r="GR246" s="14"/>
      <c r="GS246" s="14"/>
      <c r="GT246" s="14"/>
      <c r="GU246" s="14"/>
      <c r="GV246" s="14"/>
      <c r="GW246" s="14"/>
      <c r="GX246" s="14"/>
      <c r="GY246" s="14"/>
      <c r="GZ246" s="14"/>
      <c r="HA246" s="14"/>
      <c r="HB246" s="14"/>
      <c r="HC246" s="14"/>
      <c r="HD246" s="14"/>
      <c r="HE246" s="14"/>
      <c r="HF246" s="14"/>
      <c r="HG246" s="14"/>
      <c r="HH246" s="14"/>
      <c r="HI246" s="14"/>
      <c r="HJ246" s="14"/>
      <c r="HK246" s="14"/>
      <c r="HL246" s="14"/>
      <c r="HM246" s="14"/>
      <c r="HN246" s="14"/>
      <c r="HO246" s="14"/>
      <c r="HP246" s="14"/>
      <c r="HQ246" s="14"/>
      <c r="HR246" s="14"/>
      <c r="HS246" s="14"/>
      <c r="HT246" s="14"/>
      <c r="HU246" s="14"/>
      <c r="HV246" s="14"/>
      <c r="HW246" s="14"/>
      <c r="HX246" s="14"/>
      <c r="HY246" s="14"/>
      <c r="HZ246" s="14"/>
      <c r="IA246" s="14"/>
      <c r="IB246" s="14"/>
      <c r="IC246" s="14"/>
      <c r="ID246" s="14"/>
      <c r="IE246" s="14"/>
      <c r="IF246" s="14"/>
      <c r="IG246" s="14"/>
      <c r="IH246" s="14"/>
      <c r="II246" s="14"/>
      <c r="IJ246" s="14"/>
      <c r="IK246" s="14"/>
      <c r="IL246" s="14"/>
      <c r="IM246" s="14"/>
      <c r="IN246" s="14"/>
      <c r="IO246" s="14"/>
      <c r="IP246" s="14"/>
      <c r="IQ246" s="14"/>
      <c r="IR246" s="14"/>
      <c r="IS246" s="14"/>
      <c r="IT246" s="14"/>
      <c r="IU246" s="14"/>
      <c r="IV246" s="14"/>
    </row>
    <row r="247" spans="2:256" ht="23.1" customHeight="1" x14ac:dyDescent="0.25">
      <c r="B247" s="14"/>
      <c r="C247" s="39"/>
      <c r="D247" s="40"/>
      <c r="E247" s="40"/>
      <c r="F247" s="40"/>
      <c r="G247" s="42"/>
      <c r="H247" s="42"/>
      <c r="I247" s="42"/>
      <c r="J247" s="14"/>
      <c r="K247" s="14"/>
      <c r="L247" s="14"/>
      <c r="M247" s="14"/>
      <c r="N247" s="14"/>
      <c r="O247" s="51"/>
      <c r="P247" s="51"/>
      <c r="Q247" s="51"/>
      <c r="R247" s="14"/>
      <c r="S247" s="14"/>
      <c r="T247" s="14"/>
      <c r="U247" s="69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14"/>
      <c r="EV247" s="14"/>
      <c r="EW247" s="14"/>
      <c r="EX247" s="14"/>
      <c r="EY247" s="14"/>
      <c r="EZ247" s="14"/>
      <c r="FA247" s="14"/>
      <c r="FB247" s="14"/>
      <c r="FC247" s="14"/>
      <c r="FD247" s="14"/>
      <c r="FE247" s="14"/>
      <c r="FF247" s="14"/>
      <c r="FG247" s="14"/>
      <c r="FH247" s="14"/>
      <c r="FI247" s="14"/>
      <c r="FJ247" s="14"/>
      <c r="FK247" s="14"/>
      <c r="FL247" s="14"/>
      <c r="FM247" s="14"/>
      <c r="FN247" s="14"/>
      <c r="FO247" s="14"/>
      <c r="FP247" s="14"/>
      <c r="FQ247" s="14"/>
      <c r="FR247" s="14"/>
      <c r="FS247" s="14"/>
      <c r="FT247" s="14"/>
      <c r="FU247" s="14"/>
      <c r="FV247" s="14"/>
      <c r="FW247" s="14"/>
      <c r="FX247" s="14"/>
      <c r="FY247" s="14"/>
      <c r="FZ247" s="14"/>
      <c r="GA247" s="14"/>
      <c r="GB247" s="14"/>
      <c r="GC247" s="14"/>
      <c r="GD247" s="14"/>
      <c r="GE247" s="14"/>
      <c r="GF247" s="14"/>
      <c r="GG247" s="14"/>
      <c r="GH247" s="14"/>
      <c r="GI247" s="14"/>
      <c r="GJ247" s="14"/>
      <c r="GK247" s="14"/>
      <c r="GL247" s="14"/>
      <c r="GM247" s="14"/>
      <c r="GN247" s="14"/>
      <c r="GO247" s="14"/>
      <c r="GP247" s="14"/>
      <c r="GQ247" s="14"/>
      <c r="GR247" s="14"/>
      <c r="GS247" s="14"/>
      <c r="GT247" s="14"/>
      <c r="GU247" s="14"/>
      <c r="GV247" s="14"/>
      <c r="GW247" s="14"/>
      <c r="GX247" s="14"/>
      <c r="GY247" s="14"/>
      <c r="GZ247" s="14"/>
      <c r="HA247" s="14"/>
      <c r="HB247" s="14"/>
      <c r="HC247" s="14"/>
      <c r="HD247" s="14"/>
      <c r="HE247" s="14"/>
      <c r="HF247" s="14"/>
      <c r="HG247" s="14"/>
      <c r="HH247" s="14"/>
      <c r="HI247" s="14"/>
      <c r="HJ247" s="14"/>
      <c r="HK247" s="14"/>
      <c r="HL247" s="14"/>
      <c r="HM247" s="14"/>
      <c r="HN247" s="14"/>
      <c r="HO247" s="14"/>
      <c r="HP247" s="14"/>
      <c r="HQ247" s="14"/>
      <c r="HR247" s="14"/>
      <c r="HS247" s="14"/>
      <c r="HT247" s="14"/>
      <c r="HU247" s="14"/>
      <c r="HV247" s="14"/>
      <c r="HW247" s="14"/>
      <c r="HX247" s="14"/>
      <c r="HY247" s="14"/>
      <c r="HZ247" s="14"/>
      <c r="IA247" s="14"/>
      <c r="IB247" s="14"/>
      <c r="IC247" s="14"/>
      <c r="ID247" s="14"/>
      <c r="IE247" s="14"/>
      <c r="IF247" s="14"/>
      <c r="IG247" s="14"/>
      <c r="IH247" s="14"/>
      <c r="II247" s="14"/>
      <c r="IJ247" s="14"/>
      <c r="IK247" s="14"/>
      <c r="IL247" s="14"/>
      <c r="IM247" s="14"/>
      <c r="IN247" s="14"/>
      <c r="IO247" s="14"/>
      <c r="IP247" s="14"/>
      <c r="IQ247" s="14"/>
      <c r="IR247" s="14"/>
      <c r="IS247" s="14"/>
      <c r="IT247" s="14"/>
      <c r="IU247" s="14"/>
      <c r="IV247" s="14"/>
    </row>
    <row r="248" spans="2:256" ht="23.1" customHeight="1" x14ac:dyDescent="0.25">
      <c r="B248" s="14"/>
      <c r="C248" s="39"/>
      <c r="D248" s="40"/>
      <c r="E248" s="40"/>
      <c r="F248" s="40"/>
      <c r="G248" s="42"/>
      <c r="H248" s="42"/>
      <c r="I248" s="42"/>
      <c r="J248" s="14"/>
      <c r="K248" s="14"/>
      <c r="L248" s="14"/>
      <c r="M248" s="14"/>
      <c r="N248" s="14"/>
      <c r="O248" s="51"/>
      <c r="P248" s="51"/>
      <c r="Q248" s="51"/>
      <c r="R248" s="14"/>
      <c r="S248" s="14"/>
      <c r="T248" s="14"/>
      <c r="U248" s="69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  <c r="FG248" s="14"/>
      <c r="FH248" s="14"/>
      <c r="FI248" s="14"/>
      <c r="FJ248" s="14"/>
      <c r="FK248" s="14"/>
      <c r="FL248" s="14"/>
      <c r="FM248" s="14"/>
      <c r="FN248" s="14"/>
      <c r="FO248" s="14"/>
      <c r="FP248" s="14"/>
      <c r="FQ248" s="14"/>
      <c r="FR248" s="14"/>
      <c r="FS248" s="14"/>
      <c r="FT248" s="14"/>
      <c r="FU248" s="14"/>
      <c r="FV248" s="14"/>
      <c r="FW248" s="14"/>
      <c r="FX248" s="14"/>
      <c r="FY248" s="14"/>
      <c r="FZ248" s="14"/>
      <c r="GA248" s="14"/>
      <c r="GB248" s="14"/>
      <c r="GC248" s="14"/>
      <c r="GD248" s="14"/>
      <c r="GE248" s="14"/>
      <c r="GF248" s="14"/>
      <c r="GG248" s="14"/>
      <c r="GH248" s="14"/>
      <c r="GI248" s="14"/>
      <c r="GJ248" s="14"/>
      <c r="GK248" s="14"/>
      <c r="GL248" s="14"/>
      <c r="GM248" s="14"/>
      <c r="GN248" s="14"/>
      <c r="GO248" s="14"/>
      <c r="GP248" s="14"/>
      <c r="GQ248" s="14"/>
      <c r="GR248" s="14"/>
      <c r="GS248" s="14"/>
      <c r="GT248" s="14"/>
      <c r="GU248" s="14"/>
      <c r="GV248" s="14"/>
      <c r="GW248" s="14"/>
      <c r="GX248" s="14"/>
      <c r="GY248" s="14"/>
      <c r="GZ248" s="14"/>
      <c r="HA248" s="14"/>
      <c r="HB248" s="14"/>
      <c r="HC248" s="14"/>
      <c r="HD248" s="14"/>
      <c r="HE248" s="14"/>
      <c r="HF248" s="14"/>
      <c r="HG248" s="14"/>
      <c r="HH248" s="14"/>
      <c r="HI248" s="14"/>
      <c r="HJ248" s="14"/>
      <c r="HK248" s="14"/>
      <c r="HL248" s="14"/>
      <c r="HM248" s="14"/>
      <c r="HN248" s="14"/>
      <c r="HO248" s="14"/>
      <c r="HP248" s="14"/>
      <c r="HQ248" s="14"/>
      <c r="HR248" s="14"/>
      <c r="HS248" s="14"/>
      <c r="HT248" s="14"/>
      <c r="HU248" s="14"/>
      <c r="HV248" s="14"/>
      <c r="HW248" s="14"/>
      <c r="HX248" s="14"/>
      <c r="HY248" s="14"/>
      <c r="HZ248" s="14"/>
      <c r="IA248" s="14"/>
      <c r="IB248" s="14"/>
      <c r="IC248" s="14"/>
      <c r="ID248" s="14"/>
      <c r="IE248" s="14"/>
      <c r="IF248" s="14"/>
      <c r="IG248" s="14"/>
      <c r="IH248" s="14"/>
      <c r="II248" s="14"/>
      <c r="IJ248" s="14"/>
      <c r="IK248" s="14"/>
      <c r="IL248" s="14"/>
      <c r="IM248" s="14"/>
      <c r="IN248" s="14"/>
      <c r="IO248" s="14"/>
      <c r="IP248" s="14"/>
      <c r="IQ248" s="14"/>
      <c r="IR248" s="14"/>
      <c r="IS248" s="14"/>
      <c r="IT248" s="14"/>
      <c r="IU248" s="14"/>
      <c r="IV248" s="14"/>
    </row>
    <row r="249" spans="2:256" ht="23.1" customHeight="1" x14ac:dyDescent="0.25">
      <c r="B249" s="14"/>
      <c r="C249" s="39"/>
      <c r="D249" s="40"/>
      <c r="E249" s="40"/>
      <c r="F249" s="40"/>
      <c r="G249" s="42"/>
      <c r="H249" s="42"/>
      <c r="I249" s="42"/>
      <c r="J249" s="14"/>
      <c r="K249" s="14"/>
      <c r="L249" s="14"/>
      <c r="M249" s="14"/>
      <c r="N249" s="14"/>
      <c r="O249" s="51"/>
      <c r="P249" s="51"/>
      <c r="Q249" s="51"/>
      <c r="R249" s="14"/>
      <c r="S249" s="14"/>
      <c r="T249" s="14"/>
      <c r="U249" s="69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14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  <c r="FG249" s="14"/>
      <c r="FH249" s="14"/>
      <c r="FI249" s="14"/>
      <c r="FJ249" s="14"/>
      <c r="FK249" s="14"/>
      <c r="FL249" s="14"/>
      <c r="FM249" s="14"/>
      <c r="FN249" s="14"/>
      <c r="FO249" s="14"/>
      <c r="FP249" s="14"/>
      <c r="FQ249" s="14"/>
      <c r="FR249" s="14"/>
      <c r="FS249" s="14"/>
      <c r="FT249" s="14"/>
      <c r="FU249" s="14"/>
      <c r="FV249" s="14"/>
      <c r="FW249" s="14"/>
      <c r="FX249" s="14"/>
      <c r="FY249" s="14"/>
      <c r="FZ249" s="14"/>
      <c r="GA249" s="14"/>
      <c r="GB249" s="14"/>
      <c r="GC249" s="14"/>
      <c r="GD249" s="14"/>
      <c r="GE249" s="14"/>
      <c r="GF249" s="14"/>
      <c r="GG249" s="14"/>
      <c r="GH249" s="14"/>
      <c r="GI249" s="14"/>
      <c r="GJ249" s="14"/>
      <c r="GK249" s="14"/>
      <c r="GL249" s="14"/>
      <c r="GM249" s="14"/>
      <c r="GN249" s="14"/>
      <c r="GO249" s="14"/>
      <c r="GP249" s="14"/>
      <c r="GQ249" s="14"/>
      <c r="GR249" s="14"/>
      <c r="GS249" s="14"/>
      <c r="GT249" s="14"/>
      <c r="GU249" s="14"/>
      <c r="GV249" s="14"/>
      <c r="GW249" s="14"/>
      <c r="GX249" s="14"/>
      <c r="GY249" s="14"/>
      <c r="GZ249" s="14"/>
      <c r="HA249" s="14"/>
      <c r="HB249" s="14"/>
      <c r="HC249" s="14"/>
      <c r="HD249" s="14"/>
      <c r="HE249" s="14"/>
      <c r="HF249" s="14"/>
      <c r="HG249" s="14"/>
      <c r="HH249" s="14"/>
      <c r="HI249" s="14"/>
      <c r="HJ249" s="14"/>
      <c r="HK249" s="14"/>
      <c r="HL249" s="14"/>
      <c r="HM249" s="14"/>
      <c r="HN249" s="14"/>
      <c r="HO249" s="14"/>
      <c r="HP249" s="14"/>
      <c r="HQ249" s="14"/>
      <c r="HR249" s="14"/>
      <c r="HS249" s="14"/>
      <c r="HT249" s="14"/>
      <c r="HU249" s="14"/>
      <c r="HV249" s="14"/>
      <c r="HW249" s="14"/>
      <c r="HX249" s="14"/>
      <c r="HY249" s="14"/>
      <c r="HZ249" s="14"/>
      <c r="IA249" s="14"/>
      <c r="IB249" s="14"/>
      <c r="IC249" s="14"/>
      <c r="ID249" s="14"/>
      <c r="IE249" s="14"/>
      <c r="IF249" s="14"/>
      <c r="IG249" s="14"/>
      <c r="IH249" s="14"/>
      <c r="II249" s="14"/>
      <c r="IJ249" s="14"/>
      <c r="IK249" s="14"/>
      <c r="IL249" s="14"/>
      <c r="IM249" s="14"/>
      <c r="IN249" s="14"/>
      <c r="IO249" s="14"/>
      <c r="IP249" s="14"/>
      <c r="IQ249" s="14"/>
      <c r="IR249" s="14"/>
      <c r="IS249" s="14"/>
      <c r="IT249" s="14"/>
      <c r="IU249" s="14"/>
      <c r="IV249" s="14"/>
    </row>
    <row r="250" spans="2:256" ht="23.1" customHeight="1" x14ac:dyDescent="0.25">
      <c r="B250" s="14"/>
      <c r="C250" s="39"/>
      <c r="D250" s="40"/>
      <c r="E250" s="40"/>
      <c r="F250" s="40"/>
      <c r="G250" s="42"/>
      <c r="H250" s="42"/>
      <c r="I250" s="42"/>
      <c r="J250" s="14"/>
      <c r="K250" s="14"/>
      <c r="L250" s="14"/>
      <c r="M250" s="14"/>
      <c r="N250" s="14"/>
      <c r="O250" s="51"/>
      <c r="P250" s="51"/>
      <c r="Q250" s="51"/>
      <c r="R250" s="14"/>
      <c r="S250" s="14"/>
      <c r="T250" s="14"/>
      <c r="U250" s="69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  <c r="FO250" s="14"/>
      <c r="FP250" s="14"/>
      <c r="FQ250" s="14"/>
      <c r="FR250" s="14"/>
      <c r="FS250" s="14"/>
      <c r="FT250" s="14"/>
      <c r="FU250" s="14"/>
      <c r="FV250" s="14"/>
      <c r="FW250" s="14"/>
      <c r="FX250" s="14"/>
      <c r="FY250" s="14"/>
      <c r="FZ250" s="14"/>
      <c r="GA250" s="14"/>
      <c r="GB250" s="14"/>
      <c r="GC250" s="14"/>
      <c r="GD250" s="14"/>
      <c r="GE250" s="14"/>
      <c r="GF250" s="14"/>
      <c r="GG250" s="14"/>
      <c r="GH250" s="14"/>
      <c r="GI250" s="14"/>
      <c r="GJ250" s="14"/>
      <c r="GK250" s="14"/>
      <c r="GL250" s="14"/>
      <c r="GM250" s="14"/>
      <c r="GN250" s="14"/>
      <c r="GO250" s="14"/>
      <c r="GP250" s="14"/>
      <c r="GQ250" s="14"/>
      <c r="GR250" s="14"/>
      <c r="GS250" s="14"/>
      <c r="GT250" s="14"/>
      <c r="GU250" s="14"/>
      <c r="GV250" s="14"/>
      <c r="GW250" s="14"/>
      <c r="GX250" s="14"/>
      <c r="GY250" s="14"/>
      <c r="GZ250" s="14"/>
      <c r="HA250" s="14"/>
      <c r="HB250" s="14"/>
      <c r="HC250" s="14"/>
      <c r="HD250" s="14"/>
      <c r="HE250" s="14"/>
      <c r="HF250" s="14"/>
      <c r="HG250" s="14"/>
      <c r="HH250" s="14"/>
      <c r="HI250" s="14"/>
      <c r="HJ250" s="14"/>
      <c r="HK250" s="14"/>
      <c r="HL250" s="14"/>
      <c r="HM250" s="14"/>
      <c r="HN250" s="14"/>
      <c r="HO250" s="14"/>
      <c r="HP250" s="14"/>
      <c r="HQ250" s="14"/>
      <c r="HR250" s="14"/>
      <c r="HS250" s="14"/>
      <c r="HT250" s="14"/>
      <c r="HU250" s="14"/>
      <c r="HV250" s="14"/>
      <c r="HW250" s="14"/>
      <c r="HX250" s="14"/>
      <c r="HY250" s="14"/>
      <c r="HZ250" s="14"/>
      <c r="IA250" s="14"/>
      <c r="IB250" s="14"/>
      <c r="IC250" s="14"/>
      <c r="ID250" s="14"/>
      <c r="IE250" s="14"/>
      <c r="IF250" s="14"/>
      <c r="IG250" s="14"/>
      <c r="IH250" s="14"/>
      <c r="II250" s="14"/>
      <c r="IJ250" s="14"/>
      <c r="IK250" s="14"/>
      <c r="IL250" s="14"/>
      <c r="IM250" s="14"/>
      <c r="IN250" s="14"/>
      <c r="IO250" s="14"/>
      <c r="IP250" s="14"/>
      <c r="IQ250" s="14"/>
      <c r="IR250" s="14"/>
      <c r="IS250" s="14"/>
      <c r="IT250" s="14"/>
      <c r="IU250" s="14"/>
      <c r="IV250" s="14"/>
    </row>
    <row r="251" spans="2:256" ht="23.1" customHeight="1" x14ac:dyDescent="0.25">
      <c r="B251" s="14"/>
      <c r="C251" s="39"/>
      <c r="D251" s="40"/>
      <c r="E251" s="40"/>
      <c r="F251" s="40"/>
      <c r="G251" s="42"/>
      <c r="H251" s="42"/>
      <c r="I251" s="42"/>
      <c r="J251" s="14"/>
      <c r="K251" s="14"/>
      <c r="L251" s="14"/>
      <c r="M251" s="14"/>
      <c r="N251" s="14"/>
      <c r="O251" s="51"/>
      <c r="P251" s="51"/>
      <c r="Q251" s="51"/>
      <c r="R251" s="14"/>
      <c r="S251" s="14"/>
      <c r="T251" s="14"/>
      <c r="U251" s="69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  <c r="FO251" s="14"/>
      <c r="FP251" s="14"/>
      <c r="FQ251" s="14"/>
      <c r="FR251" s="14"/>
      <c r="FS251" s="14"/>
      <c r="FT251" s="14"/>
      <c r="FU251" s="14"/>
      <c r="FV251" s="14"/>
      <c r="FW251" s="14"/>
      <c r="FX251" s="14"/>
      <c r="FY251" s="14"/>
      <c r="FZ251" s="14"/>
      <c r="GA251" s="14"/>
      <c r="GB251" s="14"/>
      <c r="GC251" s="14"/>
      <c r="GD251" s="14"/>
      <c r="GE251" s="14"/>
      <c r="GF251" s="14"/>
      <c r="GG251" s="14"/>
      <c r="GH251" s="14"/>
      <c r="GI251" s="14"/>
      <c r="GJ251" s="14"/>
      <c r="GK251" s="14"/>
      <c r="GL251" s="14"/>
      <c r="GM251" s="14"/>
      <c r="GN251" s="14"/>
      <c r="GO251" s="14"/>
      <c r="GP251" s="14"/>
      <c r="GQ251" s="14"/>
      <c r="GR251" s="14"/>
      <c r="GS251" s="14"/>
      <c r="GT251" s="14"/>
      <c r="GU251" s="14"/>
      <c r="GV251" s="14"/>
      <c r="GW251" s="14"/>
      <c r="GX251" s="14"/>
      <c r="GY251" s="14"/>
      <c r="GZ251" s="14"/>
      <c r="HA251" s="14"/>
      <c r="HB251" s="14"/>
      <c r="HC251" s="14"/>
      <c r="HD251" s="14"/>
      <c r="HE251" s="14"/>
      <c r="HF251" s="14"/>
      <c r="HG251" s="14"/>
      <c r="HH251" s="14"/>
      <c r="HI251" s="14"/>
      <c r="HJ251" s="14"/>
      <c r="HK251" s="14"/>
      <c r="HL251" s="14"/>
      <c r="HM251" s="14"/>
      <c r="HN251" s="14"/>
      <c r="HO251" s="14"/>
      <c r="HP251" s="14"/>
      <c r="HQ251" s="14"/>
      <c r="HR251" s="14"/>
      <c r="HS251" s="14"/>
      <c r="HT251" s="14"/>
      <c r="HU251" s="14"/>
      <c r="HV251" s="14"/>
      <c r="HW251" s="14"/>
      <c r="HX251" s="14"/>
      <c r="HY251" s="14"/>
      <c r="HZ251" s="14"/>
      <c r="IA251" s="14"/>
      <c r="IB251" s="14"/>
      <c r="IC251" s="14"/>
      <c r="ID251" s="14"/>
      <c r="IE251" s="14"/>
      <c r="IF251" s="14"/>
      <c r="IG251" s="14"/>
      <c r="IH251" s="14"/>
      <c r="II251" s="14"/>
      <c r="IJ251" s="14"/>
      <c r="IK251" s="14"/>
      <c r="IL251" s="14"/>
      <c r="IM251" s="14"/>
      <c r="IN251" s="14"/>
      <c r="IO251" s="14"/>
      <c r="IP251" s="14"/>
      <c r="IQ251" s="14"/>
      <c r="IR251" s="14"/>
      <c r="IS251" s="14"/>
      <c r="IT251" s="14"/>
      <c r="IU251" s="14"/>
      <c r="IV251" s="14"/>
    </row>
    <row r="252" spans="2:256" ht="23.1" customHeight="1" x14ac:dyDescent="0.25">
      <c r="B252" s="14"/>
      <c r="C252" s="39"/>
      <c r="D252" s="40"/>
      <c r="E252" s="40"/>
      <c r="F252" s="40"/>
      <c r="G252" s="42"/>
      <c r="H252" s="42"/>
      <c r="I252" s="42"/>
      <c r="J252" s="14"/>
      <c r="K252" s="14"/>
      <c r="L252" s="14"/>
      <c r="M252" s="14"/>
      <c r="N252" s="14"/>
      <c r="O252" s="51"/>
      <c r="P252" s="51"/>
      <c r="Q252" s="51"/>
      <c r="R252" s="14"/>
      <c r="S252" s="14"/>
      <c r="T252" s="14"/>
      <c r="U252" s="69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14"/>
      <c r="ES252" s="14"/>
      <c r="ET252" s="14"/>
      <c r="EU252" s="14"/>
      <c r="EV252" s="14"/>
      <c r="EW252" s="14"/>
      <c r="EX252" s="14"/>
      <c r="EY252" s="14"/>
      <c r="EZ252" s="14"/>
      <c r="FA252" s="14"/>
      <c r="FB252" s="14"/>
      <c r="FC252" s="14"/>
      <c r="FD252" s="14"/>
      <c r="FE252" s="14"/>
      <c r="FF252" s="14"/>
      <c r="FG252" s="14"/>
      <c r="FH252" s="14"/>
      <c r="FI252" s="14"/>
      <c r="FJ252" s="14"/>
      <c r="FK252" s="14"/>
      <c r="FL252" s="14"/>
      <c r="FM252" s="14"/>
      <c r="FN252" s="14"/>
      <c r="FO252" s="14"/>
      <c r="FP252" s="14"/>
      <c r="FQ252" s="14"/>
      <c r="FR252" s="14"/>
      <c r="FS252" s="14"/>
      <c r="FT252" s="14"/>
      <c r="FU252" s="14"/>
      <c r="FV252" s="14"/>
      <c r="FW252" s="14"/>
      <c r="FX252" s="14"/>
      <c r="FY252" s="14"/>
      <c r="FZ252" s="14"/>
      <c r="GA252" s="14"/>
      <c r="GB252" s="14"/>
      <c r="GC252" s="14"/>
      <c r="GD252" s="14"/>
      <c r="GE252" s="14"/>
      <c r="GF252" s="14"/>
      <c r="GG252" s="14"/>
      <c r="GH252" s="14"/>
      <c r="GI252" s="14"/>
      <c r="GJ252" s="14"/>
      <c r="GK252" s="14"/>
      <c r="GL252" s="14"/>
      <c r="GM252" s="14"/>
      <c r="GN252" s="14"/>
      <c r="GO252" s="14"/>
      <c r="GP252" s="14"/>
      <c r="GQ252" s="14"/>
      <c r="GR252" s="14"/>
      <c r="GS252" s="14"/>
      <c r="GT252" s="14"/>
      <c r="GU252" s="14"/>
      <c r="GV252" s="14"/>
      <c r="GW252" s="14"/>
      <c r="GX252" s="14"/>
      <c r="GY252" s="14"/>
      <c r="GZ252" s="14"/>
      <c r="HA252" s="14"/>
      <c r="HB252" s="14"/>
      <c r="HC252" s="14"/>
      <c r="HD252" s="14"/>
      <c r="HE252" s="14"/>
      <c r="HF252" s="14"/>
      <c r="HG252" s="14"/>
      <c r="HH252" s="14"/>
      <c r="HI252" s="14"/>
      <c r="HJ252" s="14"/>
      <c r="HK252" s="14"/>
      <c r="HL252" s="14"/>
      <c r="HM252" s="14"/>
      <c r="HN252" s="14"/>
      <c r="HO252" s="14"/>
      <c r="HP252" s="14"/>
      <c r="HQ252" s="14"/>
      <c r="HR252" s="14"/>
      <c r="HS252" s="14"/>
      <c r="HT252" s="14"/>
      <c r="HU252" s="14"/>
      <c r="HV252" s="14"/>
      <c r="HW252" s="14"/>
      <c r="HX252" s="14"/>
      <c r="HY252" s="14"/>
      <c r="HZ252" s="14"/>
      <c r="IA252" s="14"/>
      <c r="IB252" s="14"/>
      <c r="IC252" s="14"/>
      <c r="ID252" s="14"/>
      <c r="IE252" s="14"/>
      <c r="IF252" s="14"/>
      <c r="IG252" s="14"/>
      <c r="IH252" s="14"/>
      <c r="II252" s="14"/>
      <c r="IJ252" s="14"/>
      <c r="IK252" s="14"/>
      <c r="IL252" s="14"/>
      <c r="IM252" s="14"/>
      <c r="IN252" s="14"/>
      <c r="IO252" s="14"/>
      <c r="IP252" s="14"/>
      <c r="IQ252" s="14"/>
      <c r="IR252" s="14"/>
      <c r="IS252" s="14"/>
      <c r="IT252" s="14"/>
      <c r="IU252" s="14"/>
      <c r="IV252" s="14"/>
    </row>
    <row r="253" spans="2:256" ht="23.1" customHeight="1" x14ac:dyDescent="0.25">
      <c r="B253" s="14"/>
      <c r="C253" s="39"/>
      <c r="D253" s="40"/>
      <c r="E253" s="40"/>
      <c r="F253" s="40"/>
      <c r="G253" s="42"/>
      <c r="H253" s="42"/>
      <c r="I253" s="42"/>
      <c r="J253" s="14"/>
      <c r="K253" s="14"/>
      <c r="L253" s="14"/>
      <c r="M253" s="14"/>
      <c r="N253" s="14"/>
      <c r="O253" s="51"/>
      <c r="P253" s="51"/>
      <c r="Q253" s="51"/>
      <c r="R253" s="14"/>
      <c r="S253" s="14"/>
      <c r="T253" s="14"/>
      <c r="U253" s="69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14"/>
      <c r="ES253" s="14"/>
      <c r="ET253" s="14"/>
      <c r="EU253" s="14"/>
      <c r="EV253" s="14"/>
      <c r="EW253" s="14"/>
      <c r="EX253" s="14"/>
      <c r="EY253" s="14"/>
      <c r="EZ253" s="14"/>
      <c r="FA253" s="14"/>
      <c r="FB253" s="14"/>
      <c r="FC253" s="14"/>
      <c r="FD253" s="14"/>
      <c r="FE253" s="14"/>
      <c r="FF253" s="14"/>
      <c r="FG253" s="14"/>
      <c r="FH253" s="14"/>
      <c r="FI253" s="14"/>
      <c r="FJ253" s="14"/>
      <c r="FK253" s="14"/>
      <c r="FL253" s="14"/>
      <c r="FM253" s="14"/>
      <c r="FN253" s="14"/>
      <c r="FO253" s="14"/>
      <c r="FP253" s="14"/>
      <c r="FQ253" s="14"/>
      <c r="FR253" s="14"/>
      <c r="FS253" s="14"/>
      <c r="FT253" s="14"/>
      <c r="FU253" s="14"/>
      <c r="FV253" s="14"/>
      <c r="FW253" s="14"/>
      <c r="FX253" s="14"/>
      <c r="FY253" s="14"/>
      <c r="FZ253" s="14"/>
      <c r="GA253" s="14"/>
      <c r="GB253" s="14"/>
      <c r="GC253" s="14"/>
      <c r="GD253" s="14"/>
      <c r="GE253" s="14"/>
      <c r="GF253" s="14"/>
      <c r="GG253" s="14"/>
      <c r="GH253" s="14"/>
      <c r="GI253" s="14"/>
      <c r="GJ253" s="14"/>
      <c r="GK253" s="14"/>
      <c r="GL253" s="14"/>
      <c r="GM253" s="14"/>
      <c r="GN253" s="14"/>
      <c r="GO253" s="14"/>
      <c r="GP253" s="14"/>
      <c r="GQ253" s="14"/>
      <c r="GR253" s="14"/>
      <c r="GS253" s="14"/>
      <c r="GT253" s="14"/>
      <c r="GU253" s="14"/>
      <c r="GV253" s="14"/>
      <c r="GW253" s="14"/>
      <c r="GX253" s="14"/>
      <c r="GY253" s="14"/>
      <c r="GZ253" s="14"/>
      <c r="HA253" s="14"/>
      <c r="HB253" s="14"/>
      <c r="HC253" s="14"/>
      <c r="HD253" s="14"/>
      <c r="HE253" s="14"/>
      <c r="HF253" s="14"/>
      <c r="HG253" s="14"/>
      <c r="HH253" s="14"/>
      <c r="HI253" s="14"/>
      <c r="HJ253" s="14"/>
      <c r="HK253" s="14"/>
      <c r="HL253" s="14"/>
      <c r="HM253" s="14"/>
      <c r="HN253" s="14"/>
      <c r="HO253" s="14"/>
      <c r="HP253" s="14"/>
      <c r="HQ253" s="14"/>
      <c r="HR253" s="14"/>
      <c r="HS253" s="14"/>
      <c r="HT253" s="14"/>
      <c r="HU253" s="14"/>
      <c r="HV253" s="14"/>
      <c r="HW253" s="14"/>
      <c r="HX253" s="14"/>
      <c r="HY253" s="14"/>
      <c r="HZ253" s="14"/>
      <c r="IA253" s="14"/>
      <c r="IB253" s="14"/>
      <c r="IC253" s="14"/>
      <c r="ID253" s="14"/>
      <c r="IE253" s="14"/>
      <c r="IF253" s="14"/>
      <c r="IG253" s="14"/>
      <c r="IH253" s="14"/>
      <c r="II253" s="14"/>
      <c r="IJ253" s="14"/>
      <c r="IK253" s="14"/>
      <c r="IL253" s="14"/>
      <c r="IM253" s="14"/>
      <c r="IN253" s="14"/>
      <c r="IO253" s="14"/>
      <c r="IP253" s="14"/>
      <c r="IQ253" s="14"/>
      <c r="IR253" s="14"/>
      <c r="IS253" s="14"/>
      <c r="IT253" s="14"/>
      <c r="IU253" s="14"/>
      <c r="IV253" s="14"/>
    </row>
    <row r="254" spans="2:256" ht="23.1" customHeight="1" x14ac:dyDescent="0.25">
      <c r="B254" s="14"/>
      <c r="C254" s="39"/>
      <c r="D254" s="40"/>
      <c r="E254" s="40"/>
      <c r="F254" s="40"/>
      <c r="G254" s="42"/>
      <c r="H254" s="42"/>
      <c r="I254" s="42"/>
      <c r="J254" s="14"/>
      <c r="K254" s="14"/>
      <c r="L254" s="14"/>
      <c r="M254" s="14"/>
      <c r="N254" s="14"/>
      <c r="O254" s="51"/>
      <c r="P254" s="51"/>
      <c r="Q254" s="51"/>
      <c r="R254" s="14"/>
      <c r="S254" s="14"/>
      <c r="T254" s="14"/>
      <c r="U254" s="69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14"/>
      <c r="ES254" s="14"/>
      <c r="ET254" s="14"/>
      <c r="EU254" s="14"/>
      <c r="EV254" s="14"/>
      <c r="EW254" s="14"/>
      <c r="EX254" s="14"/>
      <c r="EY254" s="14"/>
      <c r="EZ254" s="14"/>
      <c r="FA254" s="14"/>
      <c r="FB254" s="14"/>
      <c r="FC254" s="14"/>
      <c r="FD254" s="14"/>
      <c r="FE254" s="14"/>
      <c r="FF254" s="14"/>
      <c r="FG254" s="14"/>
      <c r="FH254" s="14"/>
      <c r="FI254" s="14"/>
      <c r="FJ254" s="14"/>
      <c r="FK254" s="14"/>
      <c r="FL254" s="14"/>
      <c r="FM254" s="14"/>
      <c r="FN254" s="14"/>
      <c r="FO254" s="14"/>
      <c r="FP254" s="14"/>
      <c r="FQ254" s="14"/>
      <c r="FR254" s="14"/>
      <c r="FS254" s="14"/>
      <c r="FT254" s="14"/>
      <c r="FU254" s="14"/>
      <c r="FV254" s="14"/>
      <c r="FW254" s="14"/>
      <c r="FX254" s="14"/>
      <c r="FY254" s="14"/>
      <c r="FZ254" s="14"/>
      <c r="GA254" s="14"/>
      <c r="GB254" s="14"/>
      <c r="GC254" s="14"/>
      <c r="GD254" s="14"/>
      <c r="GE254" s="14"/>
      <c r="GF254" s="14"/>
      <c r="GG254" s="14"/>
      <c r="GH254" s="14"/>
      <c r="GI254" s="14"/>
      <c r="GJ254" s="14"/>
      <c r="GK254" s="14"/>
      <c r="GL254" s="14"/>
      <c r="GM254" s="14"/>
      <c r="GN254" s="14"/>
      <c r="GO254" s="14"/>
      <c r="GP254" s="14"/>
      <c r="GQ254" s="14"/>
      <c r="GR254" s="14"/>
      <c r="GS254" s="14"/>
      <c r="GT254" s="14"/>
      <c r="GU254" s="14"/>
      <c r="GV254" s="14"/>
      <c r="GW254" s="14"/>
      <c r="GX254" s="14"/>
      <c r="GY254" s="14"/>
      <c r="GZ254" s="14"/>
      <c r="HA254" s="14"/>
      <c r="HB254" s="14"/>
      <c r="HC254" s="14"/>
      <c r="HD254" s="14"/>
      <c r="HE254" s="14"/>
      <c r="HF254" s="14"/>
      <c r="HG254" s="14"/>
      <c r="HH254" s="14"/>
      <c r="HI254" s="14"/>
      <c r="HJ254" s="14"/>
      <c r="HK254" s="14"/>
      <c r="HL254" s="14"/>
      <c r="HM254" s="14"/>
      <c r="HN254" s="14"/>
      <c r="HO254" s="14"/>
      <c r="HP254" s="14"/>
      <c r="HQ254" s="14"/>
      <c r="HR254" s="14"/>
      <c r="HS254" s="14"/>
      <c r="HT254" s="14"/>
      <c r="HU254" s="14"/>
      <c r="HV254" s="14"/>
      <c r="HW254" s="14"/>
      <c r="HX254" s="14"/>
      <c r="HY254" s="14"/>
      <c r="HZ254" s="14"/>
      <c r="IA254" s="14"/>
      <c r="IB254" s="14"/>
      <c r="IC254" s="14"/>
      <c r="ID254" s="14"/>
      <c r="IE254" s="14"/>
      <c r="IF254" s="14"/>
      <c r="IG254" s="14"/>
      <c r="IH254" s="14"/>
      <c r="II254" s="14"/>
      <c r="IJ254" s="14"/>
      <c r="IK254" s="14"/>
      <c r="IL254" s="14"/>
      <c r="IM254" s="14"/>
      <c r="IN254" s="14"/>
      <c r="IO254" s="14"/>
      <c r="IP254" s="14"/>
      <c r="IQ254" s="14"/>
      <c r="IR254" s="14"/>
      <c r="IS254" s="14"/>
      <c r="IT254" s="14"/>
      <c r="IU254" s="14"/>
      <c r="IV254" s="14"/>
    </row>
    <row r="255" spans="2:256" ht="23.1" customHeight="1" x14ac:dyDescent="0.25">
      <c r="B255" s="14"/>
      <c r="C255" s="39"/>
      <c r="D255" s="40"/>
      <c r="E255" s="40"/>
      <c r="F255" s="40"/>
      <c r="G255" s="42"/>
      <c r="H255" s="42"/>
      <c r="I255" s="42"/>
      <c r="J255" s="14"/>
      <c r="K255" s="14"/>
      <c r="L255" s="14"/>
      <c r="M255" s="14"/>
      <c r="N255" s="14"/>
      <c r="O255" s="51"/>
      <c r="P255" s="51"/>
      <c r="Q255" s="51"/>
      <c r="R255" s="14"/>
      <c r="S255" s="14"/>
      <c r="T255" s="14"/>
      <c r="U255" s="69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14"/>
      <c r="EV255" s="14"/>
      <c r="EW255" s="14"/>
      <c r="EX255" s="14"/>
      <c r="EY255" s="14"/>
      <c r="EZ255" s="14"/>
      <c r="FA255" s="14"/>
      <c r="FB255" s="14"/>
      <c r="FC255" s="14"/>
      <c r="FD255" s="14"/>
      <c r="FE255" s="14"/>
      <c r="FF255" s="14"/>
      <c r="FG255" s="14"/>
      <c r="FH255" s="14"/>
      <c r="FI255" s="14"/>
      <c r="FJ255" s="14"/>
      <c r="FK255" s="14"/>
      <c r="FL255" s="14"/>
      <c r="FM255" s="14"/>
      <c r="FN255" s="14"/>
      <c r="FO255" s="14"/>
      <c r="FP255" s="14"/>
      <c r="FQ255" s="14"/>
      <c r="FR255" s="14"/>
      <c r="FS255" s="14"/>
      <c r="FT255" s="14"/>
      <c r="FU255" s="14"/>
      <c r="FV255" s="14"/>
      <c r="FW255" s="14"/>
      <c r="FX255" s="14"/>
      <c r="FY255" s="14"/>
      <c r="FZ255" s="14"/>
      <c r="GA255" s="14"/>
      <c r="GB255" s="14"/>
      <c r="GC255" s="14"/>
      <c r="GD255" s="14"/>
      <c r="GE255" s="14"/>
      <c r="GF255" s="14"/>
      <c r="GG255" s="14"/>
      <c r="GH255" s="14"/>
      <c r="GI255" s="14"/>
      <c r="GJ255" s="14"/>
      <c r="GK255" s="14"/>
      <c r="GL255" s="14"/>
      <c r="GM255" s="14"/>
      <c r="GN255" s="14"/>
      <c r="GO255" s="14"/>
      <c r="GP255" s="14"/>
      <c r="GQ255" s="14"/>
      <c r="GR255" s="14"/>
      <c r="GS255" s="14"/>
      <c r="GT255" s="14"/>
      <c r="GU255" s="14"/>
      <c r="GV255" s="14"/>
      <c r="GW255" s="14"/>
      <c r="GX255" s="14"/>
      <c r="GY255" s="14"/>
      <c r="GZ255" s="14"/>
      <c r="HA255" s="14"/>
      <c r="HB255" s="14"/>
      <c r="HC255" s="14"/>
      <c r="HD255" s="14"/>
      <c r="HE255" s="14"/>
      <c r="HF255" s="14"/>
      <c r="HG255" s="14"/>
      <c r="HH255" s="14"/>
      <c r="HI255" s="14"/>
      <c r="HJ255" s="14"/>
      <c r="HK255" s="14"/>
      <c r="HL255" s="14"/>
      <c r="HM255" s="14"/>
      <c r="HN255" s="14"/>
      <c r="HO255" s="14"/>
      <c r="HP255" s="14"/>
      <c r="HQ255" s="14"/>
      <c r="HR255" s="14"/>
      <c r="HS255" s="14"/>
      <c r="HT255" s="14"/>
      <c r="HU255" s="14"/>
      <c r="HV255" s="14"/>
      <c r="HW255" s="14"/>
      <c r="HX255" s="14"/>
      <c r="HY255" s="14"/>
      <c r="HZ255" s="14"/>
      <c r="IA255" s="14"/>
      <c r="IB255" s="14"/>
      <c r="IC255" s="14"/>
      <c r="ID255" s="14"/>
      <c r="IE255" s="14"/>
      <c r="IF255" s="14"/>
      <c r="IG255" s="14"/>
      <c r="IH255" s="14"/>
      <c r="II255" s="14"/>
      <c r="IJ255" s="14"/>
      <c r="IK255" s="14"/>
      <c r="IL255" s="14"/>
      <c r="IM255" s="14"/>
      <c r="IN255" s="14"/>
      <c r="IO255" s="14"/>
      <c r="IP255" s="14"/>
      <c r="IQ255" s="14"/>
      <c r="IR255" s="14"/>
      <c r="IS255" s="14"/>
      <c r="IT255" s="14"/>
      <c r="IU255" s="14"/>
      <c r="IV255" s="14"/>
    </row>
    <row r="256" spans="2:256" ht="23.1" customHeight="1" x14ac:dyDescent="0.25">
      <c r="B256" s="14"/>
      <c r="C256" s="39"/>
      <c r="D256" s="40"/>
      <c r="E256" s="40"/>
      <c r="F256" s="40"/>
      <c r="G256" s="42"/>
      <c r="H256" s="42"/>
      <c r="I256" s="42"/>
      <c r="J256" s="14"/>
      <c r="K256" s="14"/>
      <c r="L256" s="14"/>
      <c r="M256" s="14"/>
      <c r="N256" s="14"/>
      <c r="O256" s="51"/>
      <c r="P256" s="51"/>
      <c r="Q256" s="51"/>
      <c r="R256" s="14"/>
      <c r="S256" s="14"/>
      <c r="T256" s="14"/>
      <c r="U256" s="69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14"/>
      <c r="ES256" s="14"/>
      <c r="ET256" s="14"/>
      <c r="EU256" s="14"/>
      <c r="EV256" s="14"/>
      <c r="EW256" s="14"/>
      <c r="EX256" s="14"/>
      <c r="EY256" s="14"/>
      <c r="EZ256" s="14"/>
      <c r="FA256" s="14"/>
      <c r="FB256" s="14"/>
      <c r="FC256" s="14"/>
      <c r="FD256" s="14"/>
      <c r="FE256" s="14"/>
      <c r="FF256" s="14"/>
      <c r="FG256" s="14"/>
      <c r="FH256" s="14"/>
      <c r="FI256" s="14"/>
      <c r="FJ256" s="14"/>
      <c r="FK256" s="14"/>
      <c r="FL256" s="14"/>
      <c r="FM256" s="14"/>
      <c r="FN256" s="14"/>
      <c r="FO256" s="14"/>
      <c r="FP256" s="14"/>
      <c r="FQ256" s="14"/>
      <c r="FR256" s="14"/>
      <c r="FS256" s="14"/>
      <c r="FT256" s="14"/>
      <c r="FU256" s="14"/>
      <c r="FV256" s="14"/>
      <c r="FW256" s="14"/>
      <c r="FX256" s="14"/>
      <c r="FY256" s="14"/>
      <c r="FZ256" s="14"/>
      <c r="GA256" s="14"/>
      <c r="GB256" s="14"/>
      <c r="GC256" s="14"/>
      <c r="GD256" s="14"/>
      <c r="GE256" s="14"/>
      <c r="GF256" s="14"/>
      <c r="GG256" s="14"/>
      <c r="GH256" s="14"/>
      <c r="GI256" s="14"/>
      <c r="GJ256" s="14"/>
      <c r="GK256" s="14"/>
      <c r="GL256" s="14"/>
      <c r="GM256" s="14"/>
      <c r="GN256" s="14"/>
      <c r="GO256" s="14"/>
      <c r="GP256" s="14"/>
      <c r="GQ256" s="14"/>
      <c r="GR256" s="14"/>
      <c r="GS256" s="14"/>
      <c r="GT256" s="14"/>
      <c r="GU256" s="14"/>
      <c r="GV256" s="14"/>
      <c r="GW256" s="14"/>
      <c r="GX256" s="14"/>
      <c r="GY256" s="14"/>
      <c r="GZ256" s="14"/>
      <c r="HA256" s="14"/>
      <c r="HB256" s="14"/>
      <c r="HC256" s="14"/>
      <c r="HD256" s="14"/>
      <c r="HE256" s="14"/>
      <c r="HF256" s="14"/>
      <c r="HG256" s="14"/>
      <c r="HH256" s="14"/>
      <c r="HI256" s="14"/>
      <c r="HJ256" s="14"/>
      <c r="HK256" s="14"/>
      <c r="HL256" s="14"/>
      <c r="HM256" s="14"/>
      <c r="HN256" s="14"/>
      <c r="HO256" s="14"/>
      <c r="HP256" s="14"/>
      <c r="HQ256" s="14"/>
      <c r="HR256" s="14"/>
      <c r="HS256" s="14"/>
      <c r="HT256" s="14"/>
      <c r="HU256" s="14"/>
      <c r="HV256" s="14"/>
      <c r="HW256" s="14"/>
      <c r="HX256" s="14"/>
      <c r="HY256" s="14"/>
      <c r="HZ256" s="14"/>
      <c r="IA256" s="14"/>
      <c r="IB256" s="14"/>
      <c r="IC256" s="14"/>
      <c r="ID256" s="14"/>
      <c r="IE256" s="14"/>
      <c r="IF256" s="14"/>
      <c r="IG256" s="14"/>
      <c r="IH256" s="14"/>
      <c r="II256" s="14"/>
      <c r="IJ256" s="14"/>
      <c r="IK256" s="14"/>
      <c r="IL256" s="14"/>
      <c r="IM256" s="14"/>
      <c r="IN256" s="14"/>
      <c r="IO256" s="14"/>
      <c r="IP256" s="14"/>
      <c r="IQ256" s="14"/>
      <c r="IR256" s="14"/>
      <c r="IS256" s="14"/>
      <c r="IT256" s="14"/>
      <c r="IU256" s="14"/>
      <c r="IV256" s="14"/>
    </row>
    <row r="257" spans="2:256" ht="23.1" customHeight="1" x14ac:dyDescent="0.25">
      <c r="B257" s="14"/>
      <c r="C257" s="39"/>
      <c r="D257" s="40"/>
      <c r="E257" s="40"/>
      <c r="F257" s="40"/>
      <c r="G257" s="42"/>
      <c r="H257" s="42"/>
      <c r="I257" s="42"/>
      <c r="J257" s="14"/>
      <c r="K257" s="14"/>
      <c r="L257" s="14"/>
      <c r="M257" s="14"/>
      <c r="N257" s="14"/>
      <c r="O257" s="51"/>
      <c r="P257" s="51"/>
      <c r="Q257" s="51"/>
      <c r="R257" s="14"/>
      <c r="S257" s="14"/>
      <c r="T257" s="14"/>
      <c r="U257" s="69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14"/>
      <c r="ES257" s="14"/>
      <c r="ET257" s="14"/>
      <c r="EU257" s="14"/>
      <c r="EV257" s="14"/>
      <c r="EW257" s="14"/>
      <c r="EX257" s="14"/>
      <c r="EY257" s="14"/>
      <c r="EZ257" s="14"/>
      <c r="FA257" s="14"/>
      <c r="FB257" s="14"/>
      <c r="FC257" s="14"/>
      <c r="FD257" s="14"/>
      <c r="FE257" s="14"/>
      <c r="FF257" s="14"/>
      <c r="FG257" s="14"/>
      <c r="FH257" s="14"/>
      <c r="FI257" s="14"/>
      <c r="FJ257" s="14"/>
      <c r="FK257" s="14"/>
      <c r="FL257" s="14"/>
      <c r="FM257" s="14"/>
      <c r="FN257" s="14"/>
      <c r="FO257" s="14"/>
      <c r="FP257" s="14"/>
      <c r="FQ257" s="14"/>
      <c r="FR257" s="14"/>
      <c r="FS257" s="14"/>
      <c r="FT257" s="14"/>
      <c r="FU257" s="14"/>
      <c r="FV257" s="14"/>
      <c r="FW257" s="14"/>
      <c r="FX257" s="14"/>
      <c r="FY257" s="14"/>
      <c r="FZ257" s="14"/>
      <c r="GA257" s="14"/>
      <c r="GB257" s="14"/>
      <c r="GC257" s="14"/>
      <c r="GD257" s="14"/>
      <c r="GE257" s="14"/>
      <c r="GF257" s="14"/>
      <c r="GG257" s="14"/>
      <c r="GH257" s="14"/>
      <c r="GI257" s="14"/>
      <c r="GJ257" s="14"/>
      <c r="GK257" s="14"/>
      <c r="GL257" s="14"/>
      <c r="GM257" s="14"/>
      <c r="GN257" s="14"/>
      <c r="GO257" s="14"/>
      <c r="GP257" s="14"/>
      <c r="GQ257" s="14"/>
      <c r="GR257" s="14"/>
      <c r="GS257" s="14"/>
      <c r="GT257" s="14"/>
      <c r="GU257" s="14"/>
      <c r="GV257" s="14"/>
      <c r="GW257" s="14"/>
      <c r="GX257" s="14"/>
      <c r="GY257" s="14"/>
      <c r="GZ257" s="14"/>
      <c r="HA257" s="14"/>
      <c r="HB257" s="14"/>
      <c r="HC257" s="14"/>
      <c r="HD257" s="14"/>
      <c r="HE257" s="14"/>
      <c r="HF257" s="14"/>
      <c r="HG257" s="14"/>
      <c r="HH257" s="14"/>
      <c r="HI257" s="14"/>
      <c r="HJ257" s="14"/>
      <c r="HK257" s="14"/>
      <c r="HL257" s="14"/>
      <c r="HM257" s="14"/>
      <c r="HN257" s="14"/>
      <c r="HO257" s="14"/>
      <c r="HP257" s="14"/>
      <c r="HQ257" s="14"/>
      <c r="HR257" s="14"/>
      <c r="HS257" s="14"/>
      <c r="HT257" s="14"/>
      <c r="HU257" s="14"/>
      <c r="HV257" s="14"/>
      <c r="HW257" s="14"/>
      <c r="HX257" s="14"/>
      <c r="HY257" s="14"/>
      <c r="HZ257" s="14"/>
      <c r="IA257" s="14"/>
      <c r="IB257" s="14"/>
      <c r="IC257" s="14"/>
      <c r="ID257" s="14"/>
      <c r="IE257" s="14"/>
      <c r="IF257" s="14"/>
      <c r="IG257" s="14"/>
      <c r="IH257" s="14"/>
      <c r="II257" s="14"/>
      <c r="IJ257" s="14"/>
      <c r="IK257" s="14"/>
      <c r="IL257" s="14"/>
      <c r="IM257" s="14"/>
      <c r="IN257" s="14"/>
      <c r="IO257" s="14"/>
      <c r="IP257" s="14"/>
      <c r="IQ257" s="14"/>
      <c r="IR257" s="14"/>
      <c r="IS257" s="14"/>
      <c r="IT257" s="14"/>
      <c r="IU257" s="14"/>
      <c r="IV257" s="14"/>
    </row>
    <row r="258" spans="2:256" ht="23.1" customHeight="1" x14ac:dyDescent="0.25">
      <c r="B258" s="14"/>
      <c r="C258" s="39"/>
      <c r="D258" s="40"/>
      <c r="E258" s="40"/>
      <c r="F258" s="40"/>
      <c r="G258" s="42"/>
      <c r="H258" s="42"/>
      <c r="I258" s="42"/>
      <c r="J258" s="14"/>
      <c r="K258" s="14"/>
      <c r="L258" s="14"/>
      <c r="M258" s="14"/>
      <c r="N258" s="14"/>
      <c r="O258" s="51"/>
      <c r="P258" s="51"/>
      <c r="Q258" s="51"/>
      <c r="R258" s="14"/>
      <c r="S258" s="14"/>
      <c r="T258" s="14"/>
      <c r="U258" s="69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14"/>
      <c r="EV258" s="14"/>
      <c r="EW258" s="14"/>
      <c r="EX258" s="14"/>
      <c r="EY258" s="14"/>
      <c r="EZ258" s="14"/>
      <c r="FA258" s="14"/>
      <c r="FB258" s="14"/>
      <c r="FC258" s="14"/>
      <c r="FD258" s="14"/>
      <c r="FE258" s="14"/>
      <c r="FF258" s="14"/>
      <c r="FG258" s="14"/>
      <c r="FH258" s="14"/>
      <c r="FI258" s="14"/>
      <c r="FJ258" s="14"/>
      <c r="FK258" s="14"/>
      <c r="FL258" s="14"/>
      <c r="FM258" s="14"/>
      <c r="FN258" s="14"/>
      <c r="FO258" s="14"/>
      <c r="FP258" s="14"/>
      <c r="FQ258" s="14"/>
      <c r="FR258" s="14"/>
      <c r="FS258" s="14"/>
      <c r="FT258" s="14"/>
      <c r="FU258" s="14"/>
      <c r="FV258" s="14"/>
      <c r="FW258" s="14"/>
      <c r="FX258" s="14"/>
      <c r="FY258" s="14"/>
      <c r="FZ258" s="14"/>
      <c r="GA258" s="14"/>
      <c r="GB258" s="14"/>
      <c r="GC258" s="14"/>
      <c r="GD258" s="14"/>
      <c r="GE258" s="14"/>
      <c r="GF258" s="14"/>
      <c r="GG258" s="14"/>
      <c r="GH258" s="14"/>
      <c r="GI258" s="14"/>
      <c r="GJ258" s="14"/>
      <c r="GK258" s="14"/>
      <c r="GL258" s="14"/>
      <c r="GM258" s="14"/>
      <c r="GN258" s="14"/>
      <c r="GO258" s="14"/>
      <c r="GP258" s="14"/>
      <c r="GQ258" s="14"/>
      <c r="GR258" s="14"/>
      <c r="GS258" s="14"/>
      <c r="GT258" s="14"/>
      <c r="GU258" s="14"/>
      <c r="GV258" s="14"/>
      <c r="GW258" s="14"/>
      <c r="GX258" s="14"/>
      <c r="GY258" s="14"/>
      <c r="GZ258" s="14"/>
      <c r="HA258" s="14"/>
      <c r="HB258" s="14"/>
      <c r="HC258" s="14"/>
      <c r="HD258" s="14"/>
      <c r="HE258" s="14"/>
      <c r="HF258" s="14"/>
      <c r="HG258" s="14"/>
      <c r="HH258" s="14"/>
      <c r="HI258" s="14"/>
      <c r="HJ258" s="14"/>
      <c r="HK258" s="14"/>
      <c r="HL258" s="14"/>
      <c r="HM258" s="14"/>
      <c r="HN258" s="14"/>
      <c r="HO258" s="14"/>
      <c r="HP258" s="14"/>
      <c r="HQ258" s="14"/>
      <c r="HR258" s="14"/>
      <c r="HS258" s="14"/>
      <c r="HT258" s="14"/>
      <c r="HU258" s="14"/>
      <c r="HV258" s="14"/>
      <c r="HW258" s="14"/>
      <c r="HX258" s="14"/>
      <c r="HY258" s="14"/>
      <c r="HZ258" s="14"/>
      <c r="IA258" s="14"/>
      <c r="IB258" s="14"/>
      <c r="IC258" s="14"/>
      <c r="ID258" s="14"/>
      <c r="IE258" s="14"/>
      <c r="IF258" s="14"/>
      <c r="IG258" s="14"/>
      <c r="IH258" s="14"/>
      <c r="II258" s="14"/>
      <c r="IJ258" s="14"/>
      <c r="IK258" s="14"/>
      <c r="IL258" s="14"/>
      <c r="IM258" s="14"/>
      <c r="IN258" s="14"/>
      <c r="IO258" s="14"/>
      <c r="IP258" s="14"/>
      <c r="IQ258" s="14"/>
      <c r="IR258" s="14"/>
      <c r="IS258" s="14"/>
      <c r="IT258" s="14"/>
      <c r="IU258" s="14"/>
      <c r="IV258" s="14"/>
    </row>
    <row r="259" spans="2:256" ht="23.1" customHeight="1" x14ac:dyDescent="0.25">
      <c r="B259" s="14"/>
      <c r="C259" s="39"/>
      <c r="D259" s="40"/>
      <c r="E259" s="40"/>
      <c r="F259" s="40"/>
      <c r="G259" s="42"/>
      <c r="H259" s="42"/>
      <c r="I259" s="42"/>
      <c r="J259" s="14"/>
      <c r="K259" s="14"/>
      <c r="L259" s="14"/>
      <c r="M259" s="14"/>
      <c r="N259" s="14"/>
      <c r="O259" s="51"/>
      <c r="P259" s="51"/>
      <c r="Q259" s="51"/>
      <c r="R259" s="14"/>
      <c r="S259" s="14"/>
      <c r="T259" s="14"/>
      <c r="U259" s="69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14"/>
      <c r="ES259" s="14"/>
      <c r="ET259" s="14"/>
      <c r="EU259" s="14"/>
      <c r="EV259" s="14"/>
      <c r="EW259" s="14"/>
      <c r="EX259" s="14"/>
      <c r="EY259" s="14"/>
      <c r="EZ259" s="14"/>
      <c r="FA259" s="14"/>
      <c r="FB259" s="14"/>
      <c r="FC259" s="14"/>
      <c r="FD259" s="14"/>
      <c r="FE259" s="14"/>
      <c r="FF259" s="14"/>
      <c r="FG259" s="14"/>
      <c r="FH259" s="14"/>
      <c r="FI259" s="14"/>
      <c r="FJ259" s="14"/>
      <c r="FK259" s="14"/>
      <c r="FL259" s="14"/>
      <c r="FM259" s="14"/>
      <c r="FN259" s="14"/>
      <c r="FO259" s="14"/>
      <c r="FP259" s="14"/>
      <c r="FQ259" s="14"/>
      <c r="FR259" s="14"/>
      <c r="FS259" s="14"/>
      <c r="FT259" s="14"/>
      <c r="FU259" s="14"/>
      <c r="FV259" s="14"/>
      <c r="FW259" s="14"/>
      <c r="FX259" s="14"/>
      <c r="FY259" s="14"/>
      <c r="FZ259" s="14"/>
      <c r="GA259" s="14"/>
      <c r="GB259" s="14"/>
      <c r="GC259" s="14"/>
      <c r="GD259" s="14"/>
      <c r="GE259" s="14"/>
      <c r="GF259" s="14"/>
      <c r="GG259" s="14"/>
      <c r="GH259" s="14"/>
      <c r="GI259" s="14"/>
      <c r="GJ259" s="14"/>
      <c r="GK259" s="14"/>
      <c r="GL259" s="14"/>
      <c r="GM259" s="14"/>
      <c r="GN259" s="14"/>
      <c r="GO259" s="14"/>
      <c r="GP259" s="14"/>
      <c r="GQ259" s="14"/>
      <c r="GR259" s="14"/>
      <c r="GS259" s="14"/>
      <c r="GT259" s="14"/>
      <c r="GU259" s="14"/>
      <c r="GV259" s="14"/>
      <c r="GW259" s="14"/>
      <c r="GX259" s="14"/>
      <c r="GY259" s="14"/>
      <c r="GZ259" s="14"/>
      <c r="HA259" s="14"/>
      <c r="HB259" s="14"/>
      <c r="HC259" s="14"/>
      <c r="HD259" s="14"/>
      <c r="HE259" s="14"/>
      <c r="HF259" s="14"/>
      <c r="HG259" s="14"/>
      <c r="HH259" s="14"/>
      <c r="HI259" s="14"/>
      <c r="HJ259" s="14"/>
      <c r="HK259" s="14"/>
      <c r="HL259" s="14"/>
      <c r="HM259" s="14"/>
      <c r="HN259" s="14"/>
      <c r="HO259" s="14"/>
      <c r="HP259" s="14"/>
      <c r="HQ259" s="14"/>
      <c r="HR259" s="14"/>
      <c r="HS259" s="14"/>
      <c r="HT259" s="14"/>
      <c r="HU259" s="14"/>
      <c r="HV259" s="14"/>
      <c r="HW259" s="14"/>
      <c r="HX259" s="14"/>
      <c r="HY259" s="14"/>
      <c r="HZ259" s="14"/>
      <c r="IA259" s="14"/>
      <c r="IB259" s="14"/>
      <c r="IC259" s="14"/>
      <c r="ID259" s="14"/>
      <c r="IE259" s="14"/>
      <c r="IF259" s="14"/>
      <c r="IG259" s="14"/>
      <c r="IH259" s="14"/>
      <c r="II259" s="14"/>
      <c r="IJ259" s="14"/>
      <c r="IK259" s="14"/>
      <c r="IL259" s="14"/>
      <c r="IM259" s="14"/>
      <c r="IN259" s="14"/>
      <c r="IO259" s="14"/>
      <c r="IP259" s="14"/>
      <c r="IQ259" s="14"/>
      <c r="IR259" s="14"/>
      <c r="IS259" s="14"/>
      <c r="IT259" s="14"/>
      <c r="IU259" s="14"/>
      <c r="IV259" s="14"/>
    </row>
    <row r="260" spans="2:256" ht="23.1" customHeight="1" x14ac:dyDescent="0.25">
      <c r="B260" s="14"/>
      <c r="C260" s="39"/>
      <c r="D260" s="40"/>
      <c r="E260" s="40"/>
      <c r="F260" s="40"/>
      <c r="G260" s="42"/>
      <c r="H260" s="42"/>
      <c r="I260" s="42"/>
      <c r="J260" s="14"/>
      <c r="K260" s="14"/>
      <c r="L260" s="14"/>
      <c r="M260" s="14"/>
      <c r="N260" s="14"/>
      <c r="O260" s="51"/>
      <c r="P260" s="51"/>
      <c r="Q260" s="51"/>
      <c r="R260" s="14"/>
      <c r="S260" s="14"/>
      <c r="T260" s="14"/>
      <c r="U260" s="69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  <c r="FG260" s="14"/>
      <c r="FH260" s="14"/>
      <c r="FI260" s="14"/>
      <c r="FJ260" s="14"/>
      <c r="FK260" s="14"/>
      <c r="FL260" s="14"/>
      <c r="FM260" s="14"/>
      <c r="FN260" s="14"/>
      <c r="FO260" s="14"/>
      <c r="FP260" s="14"/>
      <c r="FQ260" s="14"/>
      <c r="FR260" s="14"/>
      <c r="FS260" s="14"/>
      <c r="FT260" s="14"/>
      <c r="FU260" s="14"/>
      <c r="FV260" s="14"/>
      <c r="FW260" s="14"/>
      <c r="FX260" s="14"/>
      <c r="FY260" s="14"/>
      <c r="FZ260" s="14"/>
      <c r="GA260" s="14"/>
      <c r="GB260" s="14"/>
      <c r="GC260" s="14"/>
      <c r="GD260" s="14"/>
      <c r="GE260" s="14"/>
      <c r="GF260" s="14"/>
      <c r="GG260" s="14"/>
      <c r="GH260" s="14"/>
      <c r="GI260" s="14"/>
      <c r="GJ260" s="14"/>
      <c r="GK260" s="14"/>
      <c r="GL260" s="14"/>
      <c r="GM260" s="14"/>
      <c r="GN260" s="14"/>
      <c r="GO260" s="14"/>
      <c r="GP260" s="14"/>
      <c r="GQ260" s="14"/>
      <c r="GR260" s="14"/>
      <c r="GS260" s="14"/>
      <c r="GT260" s="14"/>
      <c r="GU260" s="14"/>
      <c r="GV260" s="14"/>
      <c r="GW260" s="14"/>
      <c r="GX260" s="14"/>
      <c r="GY260" s="14"/>
      <c r="GZ260" s="14"/>
      <c r="HA260" s="14"/>
      <c r="HB260" s="14"/>
      <c r="HC260" s="14"/>
      <c r="HD260" s="14"/>
      <c r="HE260" s="14"/>
      <c r="HF260" s="14"/>
      <c r="HG260" s="14"/>
      <c r="HH260" s="14"/>
      <c r="HI260" s="14"/>
      <c r="HJ260" s="14"/>
      <c r="HK260" s="14"/>
      <c r="HL260" s="14"/>
      <c r="HM260" s="14"/>
      <c r="HN260" s="14"/>
      <c r="HO260" s="14"/>
      <c r="HP260" s="14"/>
      <c r="HQ260" s="14"/>
      <c r="HR260" s="14"/>
      <c r="HS260" s="14"/>
      <c r="HT260" s="14"/>
      <c r="HU260" s="14"/>
      <c r="HV260" s="14"/>
      <c r="HW260" s="14"/>
      <c r="HX260" s="14"/>
      <c r="HY260" s="14"/>
      <c r="HZ260" s="14"/>
      <c r="IA260" s="14"/>
      <c r="IB260" s="14"/>
      <c r="IC260" s="14"/>
      <c r="ID260" s="14"/>
      <c r="IE260" s="14"/>
      <c r="IF260" s="14"/>
      <c r="IG260" s="14"/>
      <c r="IH260" s="14"/>
      <c r="II260" s="14"/>
      <c r="IJ260" s="14"/>
      <c r="IK260" s="14"/>
      <c r="IL260" s="14"/>
      <c r="IM260" s="14"/>
      <c r="IN260" s="14"/>
      <c r="IO260" s="14"/>
      <c r="IP260" s="14"/>
      <c r="IQ260" s="14"/>
      <c r="IR260" s="14"/>
      <c r="IS260" s="14"/>
      <c r="IT260" s="14"/>
      <c r="IU260" s="14"/>
      <c r="IV260" s="14"/>
    </row>
    <row r="261" spans="2:256" ht="23.1" customHeight="1" x14ac:dyDescent="0.25">
      <c r="B261" s="14"/>
      <c r="C261" s="39"/>
      <c r="D261" s="40"/>
      <c r="E261" s="40"/>
      <c r="F261" s="40"/>
      <c r="G261" s="42"/>
      <c r="H261" s="42"/>
      <c r="I261" s="42"/>
      <c r="J261" s="14"/>
      <c r="K261" s="14"/>
      <c r="L261" s="14"/>
      <c r="M261" s="14"/>
      <c r="N261" s="14"/>
      <c r="O261" s="51"/>
      <c r="P261" s="51"/>
      <c r="Q261" s="51"/>
      <c r="R261" s="14"/>
      <c r="S261" s="14"/>
      <c r="T261" s="14"/>
      <c r="U261" s="69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  <c r="FG261" s="14"/>
      <c r="FH261" s="14"/>
      <c r="FI261" s="14"/>
      <c r="FJ261" s="14"/>
      <c r="FK261" s="14"/>
      <c r="FL261" s="14"/>
      <c r="FM261" s="14"/>
      <c r="FN261" s="14"/>
      <c r="FO261" s="14"/>
      <c r="FP261" s="14"/>
      <c r="FQ261" s="14"/>
      <c r="FR261" s="14"/>
      <c r="FS261" s="14"/>
      <c r="FT261" s="14"/>
      <c r="FU261" s="14"/>
      <c r="FV261" s="14"/>
      <c r="FW261" s="14"/>
      <c r="FX261" s="14"/>
      <c r="FY261" s="14"/>
      <c r="FZ261" s="14"/>
      <c r="GA261" s="14"/>
      <c r="GB261" s="14"/>
      <c r="GC261" s="14"/>
      <c r="GD261" s="14"/>
      <c r="GE261" s="14"/>
      <c r="GF261" s="14"/>
      <c r="GG261" s="14"/>
      <c r="GH261" s="14"/>
      <c r="GI261" s="14"/>
      <c r="GJ261" s="14"/>
      <c r="GK261" s="14"/>
      <c r="GL261" s="14"/>
      <c r="GM261" s="14"/>
      <c r="GN261" s="14"/>
      <c r="GO261" s="14"/>
      <c r="GP261" s="14"/>
      <c r="GQ261" s="14"/>
      <c r="GR261" s="14"/>
      <c r="GS261" s="14"/>
      <c r="GT261" s="14"/>
      <c r="GU261" s="14"/>
      <c r="GV261" s="14"/>
      <c r="GW261" s="14"/>
      <c r="GX261" s="14"/>
      <c r="GY261" s="14"/>
      <c r="GZ261" s="14"/>
      <c r="HA261" s="14"/>
      <c r="HB261" s="14"/>
      <c r="HC261" s="14"/>
      <c r="HD261" s="14"/>
      <c r="HE261" s="14"/>
      <c r="HF261" s="14"/>
      <c r="HG261" s="14"/>
      <c r="HH261" s="14"/>
      <c r="HI261" s="14"/>
      <c r="HJ261" s="14"/>
      <c r="HK261" s="14"/>
      <c r="HL261" s="14"/>
      <c r="HM261" s="14"/>
      <c r="HN261" s="14"/>
      <c r="HO261" s="14"/>
      <c r="HP261" s="14"/>
      <c r="HQ261" s="14"/>
      <c r="HR261" s="14"/>
      <c r="HS261" s="14"/>
      <c r="HT261" s="14"/>
      <c r="HU261" s="14"/>
      <c r="HV261" s="14"/>
      <c r="HW261" s="14"/>
      <c r="HX261" s="14"/>
      <c r="HY261" s="14"/>
      <c r="HZ261" s="14"/>
      <c r="IA261" s="14"/>
      <c r="IB261" s="14"/>
      <c r="IC261" s="14"/>
      <c r="ID261" s="14"/>
      <c r="IE261" s="14"/>
      <c r="IF261" s="14"/>
      <c r="IG261" s="14"/>
      <c r="IH261" s="14"/>
      <c r="II261" s="14"/>
      <c r="IJ261" s="14"/>
      <c r="IK261" s="14"/>
      <c r="IL261" s="14"/>
      <c r="IM261" s="14"/>
      <c r="IN261" s="14"/>
      <c r="IO261" s="14"/>
      <c r="IP261" s="14"/>
      <c r="IQ261" s="14"/>
      <c r="IR261" s="14"/>
      <c r="IS261" s="14"/>
      <c r="IT261" s="14"/>
      <c r="IU261" s="14"/>
      <c r="IV261" s="14"/>
    </row>
    <row r="262" spans="2:256" ht="23.1" customHeight="1" x14ac:dyDescent="0.25">
      <c r="B262" s="14"/>
      <c r="C262" s="39"/>
      <c r="D262" s="40"/>
      <c r="E262" s="40"/>
      <c r="F262" s="40"/>
      <c r="G262" s="42"/>
      <c r="H262" s="42"/>
      <c r="I262" s="42"/>
      <c r="J262" s="14"/>
      <c r="K262" s="14"/>
      <c r="L262" s="14"/>
      <c r="M262" s="14"/>
      <c r="N262" s="14"/>
      <c r="O262" s="51"/>
      <c r="P262" s="51"/>
      <c r="Q262" s="51"/>
      <c r="R262" s="14"/>
      <c r="S262" s="14"/>
      <c r="T262" s="14"/>
      <c r="U262" s="69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  <c r="FG262" s="14"/>
      <c r="FH262" s="14"/>
      <c r="FI262" s="14"/>
      <c r="FJ262" s="14"/>
      <c r="FK262" s="14"/>
      <c r="FL262" s="14"/>
      <c r="FM262" s="14"/>
      <c r="FN262" s="14"/>
      <c r="FO262" s="14"/>
      <c r="FP262" s="14"/>
      <c r="FQ262" s="14"/>
      <c r="FR262" s="14"/>
      <c r="FS262" s="14"/>
      <c r="FT262" s="14"/>
      <c r="FU262" s="14"/>
      <c r="FV262" s="14"/>
      <c r="FW262" s="14"/>
      <c r="FX262" s="14"/>
      <c r="FY262" s="14"/>
      <c r="FZ262" s="14"/>
      <c r="GA262" s="14"/>
      <c r="GB262" s="14"/>
      <c r="GC262" s="14"/>
      <c r="GD262" s="14"/>
      <c r="GE262" s="14"/>
      <c r="GF262" s="14"/>
      <c r="GG262" s="14"/>
      <c r="GH262" s="14"/>
      <c r="GI262" s="14"/>
      <c r="GJ262" s="14"/>
      <c r="GK262" s="14"/>
      <c r="GL262" s="14"/>
      <c r="GM262" s="14"/>
      <c r="GN262" s="14"/>
      <c r="GO262" s="14"/>
      <c r="GP262" s="14"/>
      <c r="GQ262" s="14"/>
      <c r="GR262" s="14"/>
      <c r="GS262" s="14"/>
      <c r="GT262" s="14"/>
      <c r="GU262" s="14"/>
      <c r="GV262" s="14"/>
      <c r="GW262" s="14"/>
      <c r="GX262" s="14"/>
      <c r="GY262" s="14"/>
      <c r="GZ262" s="14"/>
      <c r="HA262" s="14"/>
      <c r="HB262" s="14"/>
      <c r="HC262" s="14"/>
      <c r="HD262" s="14"/>
      <c r="HE262" s="14"/>
      <c r="HF262" s="14"/>
      <c r="HG262" s="14"/>
      <c r="HH262" s="14"/>
      <c r="HI262" s="14"/>
      <c r="HJ262" s="14"/>
      <c r="HK262" s="14"/>
      <c r="HL262" s="14"/>
      <c r="HM262" s="14"/>
      <c r="HN262" s="14"/>
      <c r="HO262" s="14"/>
      <c r="HP262" s="14"/>
      <c r="HQ262" s="14"/>
      <c r="HR262" s="14"/>
      <c r="HS262" s="14"/>
      <c r="HT262" s="14"/>
      <c r="HU262" s="14"/>
      <c r="HV262" s="14"/>
      <c r="HW262" s="14"/>
      <c r="HX262" s="14"/>
      <c r="HY262" s="14"/>
      <c r="HZ262" s="14"/>
      <c r="IA262" s="14"/>
      <c r="IB262" s="14"/>
      <c r="IC262" s="14"/>
      <c r="ID262" s="14"/>
      <c r="IE262" s="14"/>
      <c r="IF262" s="14"/>
      <c r="IG262" s="14"/>
      <c r="IH262" s="14"/>
      <c r="II262" s="14"/>
      <c r="IJ262" s="14"/>
      <c r="IK262" s="14"/>
      <c r="IL262" s="14"/>
      <c r="IM262" s="14"/>
      <c r="IN262" s="14"/>
      <c r="IO262" s="14"/>
      <c r="IP262" s="14"/>
      <c r="IQ262" s="14"/>
      <c r="IR262" s="14"/>
      <c r="IS262" s="14"/>
      <c r="IT262" s="14"/>
      <c r="IU262" s="14"/>
      <c r="IV262" s="14"/>
    </row>
    <row r="263" spans="2:256" ht="23.1" customHeight="1" x14ac:dyDescent="0.25">
      <c r="B263" s="14"/>
      <c r="C263" s="39"/>
      <c r="D263" s="40"/>
      <c r="E263" s="40"/>
      <c r="F263" s="40"/>
      <c r="G263" s="42"/>
      <c r="H263" s="42"/>
      <c r="I263" s="42"/>
      <c r="J263" s="14"/>
      <c r="K263" s="14"/>
      <c r="L263" s="14"/>
      <c r="M263" s="14"/>
      <c r="N263" s="14"/>
      <c r="O263" s="51"/>
      <c r="P263" s="51"/>
      <c r="Q263" s="51"/>
      <c r="R263" s="14"/>
      <c r="S263" s="14"/>
      <c r="T263" s="14"/>
      <c r="U263" s="69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14"/>
      <c r="EV263" s="14"/>
      <c r="EW263" s="14"/>
      <c r="EX263" s="14"/>
      <c r="EY263" s="14"/>
      <c r="EZ263" s="14"/>
      <c r="FA263" s="14"/>
      <c r="FB263" s="14"/>
      <c r="FC263" s="14"/>
      <c r="FD263" s="14"/>
      <c r="FE263" s="14"/>
      <c r="FF263" s="14"/>
      <c r="FG263" s="14"/>
      <c r="FH263" s="14"/>
      <c r="FI263" s="14"/>
      <c r="FJ263" s="14"/>
      <c r="FK263" s="14"/>
      <c r="FL263" s="14"/>
      <c r="FM263" s="14"/>
      <c r="FN263" s="14"/>
      <c r="FO263" s="14"/>
      <c r="FP263" s="14"/>
      <c r="FQ263" s="14"/>
      <c r="FR263" s="14"/>
      <c r="FS263" s="14"/>
      <c r="FT263" s="14"/>
      <c r="FU263" s="14"/>
      <c r="FV263" s="14"/>
      <c r="FW263" s="14"/>
      <c r="FX263" s="14"/>
      <c r="FY263" s="14"/>
      <c r="FZ263" s="14"/>
      <c r="GA263" s="14"/>
      <c r="GB263" s="14"/>
      <c r="GC263" s="14"/>
      <c r="GD263" s="14"/>
      <c r="GE263" s="14"/>
      <c r="GF263" s="14"/>
      <c r="GG263" s="14"/>
      <c r="GH263" s="14"/>
      <c r="GI263" s="14"/>
      <c r="GJ263" s="14"/>
      <c r="GK263" s="14"/>
      <c r="GL263" s="14"/>
      <c r="GM263" s="14"/>
      <c r="GN263" s="14"/>
      <c r="GO263" s="14"/>
      <c r="GP263" s="14"/>
      <c r="GQ263" s="14"/>
      <c r="GR263" s="14"/>
      <c r="GS263" s="14"/>
      <c r="GT263" s="14"/>
      <c r="GU263" s="14"/>
      <c r="GV263" s="14"/>
      <c r="GW263" s="14"/>
      <c r="GX263" s="14"/>
      <c r="GY263" s="14"/>
      <c r="GZ263" s="14"/>
      <c r="HA263" s="14"/>
      <c r="HB263" s="14"/>
      <c r="HC263" s="14"/>
      <c r="HD263" s="14"/>
      <c r="HE263" s="14"/>
      <c r="HF263" s="14"/>
      <c r="HG263" s="14"/>
      <c r="HH263" s="14"/>
      <c r="HI263" s="14"/>
      <c r="HJ263" s="14"/>
      <c r="HK263" s="14"/>
      <c r="HL263" s="14"/>
      <c r="HM263" s="14"/>
      <c r="HN263" s="14"/>
      <c r="HO263" s="14"/>
      <c r="HP263" s="14"/>
      <c r="HQ263" s="14"/>
      <c r="HR263" s="14"/>
      <c r="HS263" s="14"/>
      <c r="HT263" s="14"/>
      <c r="HU263" s="14"/>
      <c r="HV263" s="14"/>
      <c r="HW263" s="14"/>
      <c r="HX263" s="14"/>
      <c r="HY263" s="14"/>
      <c r="HZ263" s="14"/>
      <c r="IA263" s="14"/>
      <c r="IB263" s="14"/>
      <c r="IC263" s="14"/>
      <c r="ID263" s="14"/>
      <c r="IE263" s="14"/>
      <c r="IF263" s="14"/>
      <c r="IG263" s="14"/>
      <c r="IH263" s="14"/>
      <c r="II263" s="14"/>
      <c r="IJ263" s="14"/>
      <c r="IK263" s="14"/>
      <c r="IL263" s="14"/>
      <c r="IM263" s="14"/>
      <c r="IN263" s="14"/>
      <c r="IO263" s="14"/>
      <c r="IP263" s="14"/>
      <c r="IQ263" s="14"/>
      <c r="IR263" s="14"/>
      <c r="IS263" s="14"/>
      <c r="IT263" s="14"/>
      <c r="IU263" s="14"/>
      <c r="IV263" s="14"/>
    </row>
    <row r="264" spans="2:256" ht="23.1" customHeight="1" x14ac:dyDescent="0.25">
      <c r="B264" s="14"/>
      <c r="C264" s="39"/>
      <c r="D264" s="40"/>
      <c r="E264" s="40"/>
      <c r="F264" s="40"/>
      <c r="G264" s="42"/>
      <c r="H264" s="42"/>
      <c r="I264" s="42"/>
      <c r="J264" s="14"/>
      <c r="K264" s="14"/>
      <c r="L264" s="14"/>
      <c r="M264" s="14"/>
      <c r="N264" s="14"/>
      <c r="O264" s="51"/>
      <c r="P264" s="51"/>
      <c r="Q264" s="51"/>
      <c r="R264" s="14"/>
      <c r="S264" s="14"/>
      <c r="T264" s="14"/>
      <c r="U264" s="69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14"/>
      <c r="ES264" s="14"/>
      <c r="ET264" s="14"/>
      <c r="EU264" s="14"/>
      <c r="EV264" s="14"/>
      <c r="EW264" s="14"/>
      <c r="EX264" s="14"/>
      <c r="EY264" s="14"/>
      <c r="EZ264" s="14"/>
      <c r="FA264" s="14"/>
      <c r="FB264" s="14"/>
      <c r="FC264" s="14"/>
      <c r="FD264" s="14"/>
      <c r="FE264" s="14"/>
      <c r="FF264" s="14"/>
      <c r="FG264" s="14"/>
      <c r="FH264" s="14"/>
      <c r="FI264" s="14"/>
      <c r="FJ264" s="14"/>
      <c r="FK264" s="14"/>
      <c r="FL264" s="14"/>
      <c r="FM264" s="14"/>
      <c r="FN264" s="14"/>
      <c r="FO264" s="14"/>
      <c r="FP264" s="14"/>
      <c r="FQ264" s="14"/>
      <c r="FR264" s="14"/>
      <c r="FS264" s="14"/>
      <c r="FT264" s="14"/>
      <c r="FU264" s="14"/>
      <c r="FV264" s="14"/>
      <c r="FW264" s="14"/>
      <c r="FX264" s="14"/>
      <c r="FY264" s="14"/>
      <c r="FZ264" s="14"/>
      <c r="GA264" s="14"/>
      <c r="GB264" s="14"/>
      <c r="GC264" s="14"/>
      <c r="GD264" s="14"/>
      <c r="GE264" s="14"/>
      <c r="GF264" s="14"/>
      <c r="GG264" s="14"/>
      <c r="GH264" s="14"/>
      <c r="GI264" s="14"/>
      <c r="GJ264" s="14"/>
      <c r="GK264" s="14"/>
      <c r="GL264" s="14"/>
      <c r="GM264" s="14"/>
      <c r="GN264" s="14"/>
      <c r="GO264" s="14"/>
      <c r="GP264" s="14"/>
      <c r="GQ264" s="14"/>
      <c r="GR264" s="14"/>
      <c r="GS264" s="14"/>
      <c r="GT264" s="14"/>
      <c r="GU264" s="14"/>
      <c r="GV264" s="14"/>
      <c r="GW264" s="14"/>
      <c r="GX264" s="14"/>
      <c r="GY264" s="14"/>
      <c r="GZ264" s="14"/>
      <c r="HA264" s="14"/>
      <c r="HB264" s="14"/>
      <c r="HC264" s="14"/>
      <c r="HD264" s="14"/>
      <c r="HE264" s="14"/>
      <c r="HF264" s="14"/>
      <c r="HG264" s="14"/>
      <c r="HH264" s="14"/>
      <c r="HI264" s="14"/>
      <c r="HJ264" s="14"/>
      <c r="HK264" s="14"/>
      <c r="HL264" s="14"/>
      <c r="HM264" s="14"/>
      <c r="HN264" s="14"/>
      <c r="HO264" s="14"/>
      <c r="HP264" s="14"/>
      <c r="HQ264" s="14"/>
      <c r="HR264" s="14"/>
      <c r="HS264" s="14"/>
      <c r="HT264" s="14"/>
      <c r="HU264" s="14"/>
      <c r="HV264" s="14"/>
      <c r="HW264" s="14"/>
      <c r="HX264" s="14"/>
      <c r="HY264" s="14"/>
      <c r="HZ264" s="14"/>
      <c r="IA264" s="14"/>
      <c r="IB264" s="14"/>
      <c r="IC264" s="14"/>
      <c r="ID264" s="14"/>
      <c r="IE264" s="14"/>
      <c r="IF264" s="14"/>
      <c r="IG264" s="14"/>
      <c r="IH264" s="14"/>
      <c r="II264" s="14"/>
      <c r="IJ264" s="14"/>
      <c r="IK264" s="14"/>
      <c r="IL264" s="14"/>
      <c r="IM264" s="14"/>
      <c r="IN264" s="14"/>
      <c r="IO264" s="14"/>
      <c r="IP264" s="14"/>
      <c r="IQ264" s="14"/>
      <c r="IR264" s="14"/>
      <c r="IS264" s="14"/>
      <c r="IT264" s="14"/>
      <c r="IU264" s="14"/>
      <c r="IV264" s="14"/>
    </row>
    <row r="265" spans="2:256" ht="23.1" customHeight="1" x14ac:dyDescent="0.25">
      <c r="B265" s="14"/>
      <c r="C265" s="39"/>
      <c r="D265" s="40"/>
      <c r="E265" s="40"/>
      <c r="F265" s="40"/>
      <c r="G265" s="42"/>
      <c r="H265" s="42"/>
      <c r="I265" s="42"/>
      <c r="J265" s="14"/>
      <c r="K265" s="14"/>
      <c r="L265" s="14"/>
      <c r="M265" s="14"/>
      <c r="N265" s="14"/>
      <c r="O265" s="51"/>
      <c r="P265" s="51"/>
      <c r="Q265" s="51"/>
      <c r="R265" s="14"/>
      <c r="S265" s="14"/>
      <c r="T265" s="14"/>
      <c r="U265" s="69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14"/>
      <c r="ES265" s="14"/>
      <c r="ET265" s="14"/>
      <c r="EU265" s="14"/>
      <c r="EV265" s="14"/>
      <c r="EW265" s="14"/>
      <c r="EX265" s="14"/>
      <c r="EY265" s="14"/>
      <c r="EZ265" s="14"/>
      <c r="FA265" s="14"/>
      <c r="FB265" s="14"/>
      <c r="FC265" s="14"/>
      <c r="FD265" s="14"/>
      <c r="FE265" s="14"/>
      <c r="FF265" s="14"/>
      <c r="FG265" s="14"/>
      <c r="FH265" s="14"/>
      <c r="FI265" s="14"/>
      <c r="FJ265" s="14"/>
      <c r="FK265" s="14"/>
      <c r="FL265" s="14"/>
      <c r="FM265" s="14"/>
      <c r="FN265" s="14"/>
      <c r="FO265" s="14"/>
      <c r="FP265" s="14"/>
      <c r="FQ265" s="14"/>
      <c r="FR265" s="14"/>
      <c r="FS265" s="14"/>
      <c r="FT265" s="14"/>
      <c r="FU265" s="14"/>
      <c r="FV265" s="14"/>
      <c r="FW265" s="14"/>
      <c r="FX265" s="14"/>
      <c r="FY265" s="14"/>
      <c r="FZ265" s="14"/>
      <c r="GA265" s="14"/>
      <c r="GB265" s="14"/>
      <c r="GC265" s="14"/>
      <c r="GD265" s="14"/>
      <c r="GE265" s="14"/>
      <c r="GF265" s="14"/>
      <c r="GG265" s="14"/>
      <c r="GH265" s="14"/>
      <c r="GI265" s="14"/>
      <c r="GJ265" s="14"/>
      <c r="GK265" s="14"/>
      <c r="GL265" s="14"/>
      <c r="GM265" s="14"/>
      <c r="GN265" s="14"/>
      <c r="GO265" s="14"/>
      <c r="GP265" s="14"/>
      <c r="GQ265" s="14"/>
      <c r="GR265" s="14"/>
      <c r="GS265" s="14"/>
      <c r="GT265" s="14"/>
      <c r="GU265" s="14"/>
      <c r="GV265" s="14"/>
      <c r="GW265" s="14"/>
      <c r="GX265" s="14"/>
      <c r="GY265" s="14"/>
      <c r="GZ265" s="14"/>
      <c r="HA265" s="14"/>
      <c r="HB265" s="14"/>
      <c r="HC265" s="14"/>
      <c r="HD265" s="14"/>
      <c r="HE265" s="14"/>
      <c r="HF265" s="14"/>
      <c r="HG265" s="14"/>
      <c r="HH265" s="14"/>
      <c r="HI265" s="14"/>
      <c r="HJ265" s="14"/>
      <c r="HK265" s="14"/>
      <c r="HL265" s="14"/>
      <c r="HM265" s="14"/>
      <c r="HN265" s="14"/>
      <c r="HO265" s="14"/>
      <c r="HP265" s="14"/>
      <c r="HQ265" s="14"/>
      <c r="HR265" s="14"/>
      <c r="HS265" s="14"/>
      <c r="HT265" s="14"/>
      <c r="HU265" s="14"/>
      <c r="HV265" s="14"/>
      <c r="HW265" s="14"/>
      <c r="HX265" s="14"/>
      <c r="HY265" s="14"/>
      <c r="HZ265" s="14"/>
      <c r="IA265" s="14"/>
      <c r="IB265" s="14"/>
      <c r="IC265" s="14"/>
      <c r="ID265" s="14"/>
      <c r="IE265" s="14"/>
      <c r="IF265" s="14"/>
      <c r="IG265" s="14"/>
      <c r="IH265" s="14"/>
      <c r="II265" s="14"/>
      <c r="IJ265" s="14"/>
      <c r="IK265" s="14"/>
      <c r="IL265" s="14"/>
      <c r="IM265" s="14"/>
      <c r="IN265" s="14"/>
      <c r="IO265" s="14"/>
      <c r="IP265" s="14"/>
      <c r="IQ265" s="14"/>
      <c r="IR265" s="14"/>
      <c r="IS265" s="14"/>
      <c r="IT265" s="14"/>
      <c r="IU265" s="14"/>
      <c r="IV265" s="14"/>
    </row>
    <row r="266" spans="2:256" ht="23.1" customHeight="1" x14ac:dyDescent="0.25">
      <c r="B266" s="14"/>
      <c r="C266" s="39"/>
      <c r="D266" s="40"/>
      <c r="E266" s="40"/>
      <c r="F266" s="40"/>
      <c r="G266" s="42"/>
      <c r="H266" s="42"/>
      <c r="I266" s="42"/>
      <c r="J266" s="14"/>
      <c r="K266" s="14"/>
      <c r="L266" s="14"/>
      <c r="M266" s="14"/>
      <c r="N266" s="14"/>
      <c r="O266" s="51"/>
      <c r="P266" s="51"/>
      <c r="Q266" s="51"/>
      <c r="R266" s="14"/>
      <c r="S266" s="14"/>
      <c r="T266" s="14"/>
      <c r="U266" s="69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14"/>
      <c r="ES266" s="14"/>
      <c r="ET266" s="14"/>
      <c r="EU266" s="14"/>
      <c r="EV266" s="14"/>
      <c r="EW266" s="14"/>
      <c r="EX266" s="14"/>
      <c r="EY266" s="14"/>
      <c r="EZ266" s="14"/>
      <c r="FA266" s="14"/>
      <c r="FB266" s="14"/>
      <c r="FC266" s="14"/>
      <c r="FD266" s="14"/>
      <c r="FE266" s="14"/>
      <c r="FF266" s="14"/>
      <c r="FG266" s="14"/>
      <c r="FH266" s="14"/>
      <c r="FI266" s="14"/>
      <c r="FJ266" s="14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B266" s="14"/>
      <c r="GC266" s="14"/>
      <c r="GD266" s="14"/>
      <c r="GE266" s="14"/>
      <c r="GF266" s="14"/>
      <c r="GG266" s="14"/>
      <c r="GH266" s="14"/>
      <c r="GI266" s="14"/>
      <c r="GJ266" s="14"/>
      <c r="GK266" s="14"/>
      <c r="GL266" s="14"/>
      <c r="GM266" s="14"/>
      <c r="GN266" s="14"/>
      <c r="GO266" s="14"/>
      <c r="GP266" s="14"/>
      <c r="GQ266" s="14"/>
      <c r="GR266" s="14"/>
      <c r="GS266" s="14"/>
      <c r="GT266" s="14"/>
      <c r="GU266" s="14"/>
      <c r="GV266" s="14"/>
      <c r="GW266" s="14"/>
      <c r="GX266" s="14"/>
      <c r="GY266" s="14"/>
      <c r="GZ266" s="14"/>
      <c r="HA266" s="14"/>
      <c r="HB266" s="14"/>
      <c r="HC266" s="14"/>
      <c r="HD266" s="14"/>
      <c r="HE266" s="14"/>
      <c r="HF266" s="14"/>
      <c r="HG266" s="14"/>
      <c r="HH266" s="14"/>
      <c r="HI266" s="14"/>
      <c r="HJ266" s="14"/>
      <c r="HK266" s="14"/>
      <c r="HL266" s="14"/>
      <c r="HM266" s="14"/>
      <c r="HN266" s="14"/>
      <c r="HO266" s="14"/>
      <c r="HP266" s="14"/>
      <c r="HQ266" s="14"/>
      <c r="HR266" s="14"/>
      <c r="HS266" s="14"/>
      <c r="HT266" s="14"/>
      <c r="HU266" s="14"/>
      <c r="HV266" s="14"/>
      <c r="HW266" s="14"/>
      <c r="HX266" s="14"/>
      <c r="HY266" s="14"/>
      <c r="HZ266" s="14"/>
      <c r="IA266" s="14"/>
      <c r="IB266" s="14"/>
      <c r="IC266" s="14"/>
      <c r="ID266" s="14"/>
      <c r="IE266" s="14"/>
      <c r="IF266" s="14"/>
      <c r="IG266" s="14"/>
      <c r="IH266" s="14"/>
      <c r="II266" s="14"/>
      <c r="IJ266" s="14"/>
      <c r="IK266" s="14"/>
      <c r="IL266" s="14"/>
      <c r="IM266" s="14"/>
      <c r="IN266" s="14"/>
      <c r="IO266" s="14"/>
      <c r="IP266" s="14"/>
      <c r="IQ266" s="14"/>
      <c r="IR266" s="14"/>
      <c r="IS266" s="14"/>
      <c r="IT266" s="14"/>
      <c r="IU266" s="14"/>
      <c r="IV266" s="14"/>
    </row>
    <row r="267" spans="2:256" ht="23.1" customHeight="1" x14ac:dyDescent="0.25">
      <c r="B267" s="14"/>
      <c r="C267" s="39"/>
      <c r="D267" s="40"/>
      <c r="E267" s="40"/>
      <c r="F267" s="40"/>
      <c r="G267" s="42"/>
      <c r="H267" s="42"/>
      <c r="I267" s="42"/>
      <c r="J267" s="14"/>
      <c r="K267" s="14"/>
      <c r="L267" s="14"/>
      <c r="M267" s="14"/>
      <c r="N267" s="14"/>
      <c r="O267" s="51"/>
      <c r="P267" s="51"/>
      <c r="Q267" s="51"/>
      <c r="R267" s="14"/>
      <c r="S267" s="14"/>
      <c r="T267" s="14"/>
      <c r="U267" s="69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14"/>
      <c r="ES267" s="14"/>
      <c r="ET267" s="14"/>
      <c r="EU267" s="14"/>
      <c r="EV267" s="14"/>
      <c r="EW267" s="14"/>
      <c r="EX267" s="14"/>
      <c r="EY267" s="14"/>
      <c r="EZ267" s="14"/>
      <c r="FA267" s="14"/>
      <c r="FB267" s="14"/>
      <c r="FC267" s="14"/>
      <c r="FD267" s="14"/>
      <c r="FE267" s="14"/>
      <c r="FF267" s="14"/>
      <c r="FG267" s="14"/>
      <c r="FH267" s="14"/>
      <c r="FI267" s="14"/>
      <c r="FJ267" s="14"/>
      <c r="FK267" s="14"/>
      <c r="FL267" s="14"/>
      <c r="FM267" s="14"/>
      <c r="FN267" s="14"/>
      <c r="FO267" s="14"/>
      <c r="FP267" s="14"/>
      <c r="FQ267" s="14"/>
      <c r="FR267" s="14"/>
      <c r="FS267" s="14"/>
      <c r="FT267" s="14"/>
      <c r="FU267" s="14"/>
      <c r="FV267" s="14"/>
      <c r="FW267" s="14"/>
      <c r="FX267" s="14"/>
      <c r="FY267" s="14"/>
      <c r="FZ267" s="14"/>
      <c r="GA267" s="14"/>
      <c r="GB267" s="14"/>
      <c r="GC267" s="14"/>
      <c r="GD267" s="14"/>
      <c r="GE267" s="14"/>
      <c r="GF267" s="14"/>
      <c r="GG267" s="14"/>
      <c r="GH267" s="14"/>
      <c r="GI267" s="14"/>
      <c r="GJ267" s="14"/>
      <c r="GK267" s="14"/>
      <c r="GL267" s="14"/>
      <c r="GM267" s="14"/>
      <c r="GN267" s="14"/>
      <c r="GO267" s="14"/>
      <c r="GP267" s="14"/>
      <c r="GQ267" s="14"/>
      <c r="GR267" s="14"/>
      <c r="GS267" s="14"/>
      <c r="GT267" s="14"/>
      <c r="GU267" s="14"/>
      <c r="GV267" s="14"/>
      <c r="GW267" s="14"/>
      <c r="GX267" s="14"/>
      <c r="GY267" s="14"/>
      <c r="GZ267" s="14"/>
      <c r="HA267" s="14"/>
      <c r="HB267" s="14"/>
      <c r="HC267" s="14"/>
      <c r="HD267" s="14"/>
      <c r="HE267" s="14"/>
      <c r="HF267" s="14"/>
      <c r="HG267" s="14"/>
      <c r="HH267" s="14"/>
      <c r="HI267" s="14"/>
      <c r="HJ267" s="14"/>
      <c r="HK267" s="14"/>
      <c r="HL267" s="14"/>
      <c r="HM267" s="14"/>
      <c r="HN267" s="14"/>
      <c r="HO267" s="14"/>
      <c r="HP267" s="14"/>
      <c r="HQ267" s="14"/>
      <c r="HR267" s="14"/>
      <c r="HS267" s="14"/>
      <c r="HT267" s="14"/>
      <c r="HU267" s="14"/>
      <c r="HV267" s="14"/>
      <c r="HW267" s="14"/>
      <c r="HX267" s="14"/>
      <c r="HY267" s="14"/>
      <c r="HZ267" s="14"/>
      <c r="IA267" s="14"/>
      <c r="IB267" s="14"/>
      <c r="IC267" s="14"/>
      <c r="ID267" s="14"/>
      <c r="IE267" s="14"/>
      <c r="IF267" s="14"/>
      <c r="IG267" s="14"/>
      <c r="IH267" s="14"/>
      <c r="II267" s="14"/>
      <c r="IJ267" s="14"/>
      <c r="IK267" s="14"/>
      <c r="IL267" s="14"/>
      <c r="IM267" s="14"/>
      <c r="IN267" s="14"/>
      <c r="IO267" s="14"/>
      <c r="IP267" s="14"/>
      <c r="IQ267" s="14"/>
      <c r="IR267" s="14"/>
      <c r="IS267" s="14"/>
      <c r="IT267" s="14"/>
      <c r="IU267" s="14"/>
      <c r="IV267" s="14"/>
    </row>
    <row r="268" spans="2:256" ht="23.1" customHeight="1" x14ac:dyDescent="0.25">
      <c r="B268" s="14"/>
      <c r="C268" s="39"/>
      <c r="D268" s="40"/>
      <c r="E268" s="40"/>
      <c r="F268" s="40"/>
      <c r="G268" s="42"/>
      <c r="H268" s="42"/>
      <c r="I268" s="42"/>
      <c r="J268" s="14"/>
      <c r="K268" s="14"/>
      <c r="L268" s="14"/>
      <c r="M268" s="14"/>
      <c r="N268" s="14"/>
      <c r="O268" s="51"/>
      <c r="P268" s="51"/>
      <c r="Q268" s="51"/>
      <c r="R268" s="14"/>
      <c r="S268" s="14"/>
      <c r="T268" s="14"/>
      <c r="U268" s="69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  <c r="ET268" s="14"/>
      <c r="EU268" s="14"/>
      <c r="EV268" s="14"/>
      <c r="EW268" s="14"/>
      <c r="EX268" s="14"/>
      <c r="EY268" s="14"/>
      <c r="EZ268" s="14"/>
      <c r="FA268" s="14"/>
      <c r="FB268" s="14"/>
      <c r="FC268" s="14"/>
      <c r="FD268" s="14"/>
      <c r="FE268" s="14"/>
      <c r="FF268" s="14"/>
      <c r="FG268" s="14"/>
      <c r="FH268" s="14"/>
      <c r="FI268" s="14"/>
      <c r="FJ268" s="14"/>
      <c r="FK268" s="14"/>
      <c r="FL268" s="14"/>
      <c r="FM268" s="14"/>
      <c r="FN268" s="14"/>
      <c r="FO268" s="14"/>
      <c r="FP268" s="14"/>
      <c r="FQ268" s="14"/>
      <c r="FR268" s="14"/>
      <c r="FS268" s="14"/>
      <c r="FT268" s="14"/>
      <c r="FU268" s="14"/>
      <c r="FV268" s="14"/>
      <c r="FW268" s="14"/>
      <c r="FX268" s="14"/>
      <c r="FY268" s="14"/>
      <c r="FZ268" s="14"/>
      <c r="GA268" s="14"/>
      <c r="GB268" s="14"/>
      <c r="GC268" s="14"/>
      <c r="GD268" s="14"/>
      <c r="GE268" s="14"/>
      <c r="GF268" s="14"/>
      <c r="GG268" s="14"/>
      <c r="GH268" s="14"/>
      <c r="GI268" s="14"/>
      <c r="GJ268" s="14"/>
      <c r="GK268" s="14"/>
      <c r="GL268" s="14"/>
      <c r="GM268" s="14"/>
      <c r="GN268" s="14"/>
      <c r="GO268" s="14"/>
      <c r="GP268" s="14"/>
      <c r="GQ268" s="14"/>
      <c r="GR268" s="14"/>
      <c r="GS268" s="14"/>
      <c r="GT268" s="14"/>
      <c r="GU268" s="14"/>
      <c r="GV268" s="14"/>
      <c r="GW268" s="14"/>
      <c r="GX268" s="14"/>
      <c r="GY268" s="14"/>
      <c r="GZ268" s="14"/>
      <c r="HA268" s="14"/>
      <c r="HB268" s="14"/>
      <c r="HC268" s="14"/>
      <c r="HD268" s="14"/>
      <c r="HE268" s="14"/>
      <c r="HF268" s="14"/>
      <c r="HG268" s="14"/>
      <c r="HH268" s="14"/>
      <c r="HI268" s="14"/>
      <c r="HJ268" s="14"/>
      <c r="HK268" s="14"/>
      <c r="HL268" s="14"/>
      <c r="HM268" s="14"/>
      <c r="HN268" s="14"/>
      <c r="HO268" s="14"/>
      <c r="HP268" s="14"/>
      <c r="HQ268" s="14"/>
      <c r="HR268" s="14"/>
      <c r="HS268" s="14"/>
      <c r="HT268" s="14"/>
      <c r="HU268" s="14"/>
      <c r="HV268" s="14"/>
      <c r="HW268" s="14"/>
      <c r="HX268" s="14"/>
      <c r="HY268" s="14"/>
      <c r="HZ268" s="14"/>
      <c r="IA268" s="14"/>
      <c r="IB268" s="14"/>
      <c r="IC268" s="14"/>
      <c r="ID268" s="14"/>
      <c r="IE268" s="14"/>
      <c r="IF268" s="14"/>
      <c r="IG268" s="14"/>
      <c r="IH268" s="14"/>
      <c r="II268" s="14"/>
      <c r="IJ268" s="14"/>
      <c r="IK268" s="14"/>
      <c r="IL268" s="14"/>
      <c r="IM268" s="14"/>
      <c r="IN268" s="14"/>
      <c r="IO268" s="14"/>
      <c r="IP268" s="14"/>
      <c r="IQ268" s="14"/>
      <c r="IR268" s="14"/>
      <c r="IS268" s="14"/>
      <c r="IT268" s="14"/>
      <c r="IU268" s="14"/>
      <c r="IV268" s="14"/>
    </row>
    <row r="269" spans="2:256" ht="23.1" customHeight="1" x14ac:dyDescent="0.25">
      <c r="B269" s="14"/>
      <c r="C269" s="39"/>
      <c r="D269" s="40"/>
      <c r="E269" s="40"/>
      <c r="F269" s="40"/>
      <c r="G269" s="42"/>
      <c r="H269" s="42"/>
      <c r="I269" s="42"/>
      <c r="J269" s="14"/>
      <c r="K269" s="14"/>
      <c r="L269" s="14"/>
      <c r="M269" s="14"/>
      <c r="N269" s="14"/>
      <c r="O269" s="51"/>
      <c r="P269" s="51"/>
      <c r="Q269" s="51"/>
      <c r="R269" s="14"/>
      <c r="S269" s="14"/>
      <c r="T269" s="14"/>
      <c r="U269" s="69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  <c r="ET269" s="14"/>
      <c r="EU269" s="14"/>
      <c r="EV269" s="14"/>
      <c r="EW269" s="14"/>
      <c r="EX269" s="14"/>
      <c r="EY269" s="14"/>
      <c r="EZ269" s="14"/>
      <c r="FA269" s="14"/>
      <c r="FB269" s="14"/>
      <c r="FC269" s="14"/>
      <c r="FD269" s="14"/>
      <c r="FE269" s="14"/>
      <c r="FF269" s="14"/>
      <c r="FG269" s="14"/>
      <c r="FH269" s="14"/>
      <c r="FI269" s="14"/>
      <c r="FJ269" s="14"/>
      <c r="FK269" s="14"/>
      <c r="FL269" s="14"/>
      <c r="FM269" s="14"/>
      <c r="FN269" s="14"/>
      <c r="FO269" s="14"/>
      <c r="FP269" s="14"/>
      <c r="FQ269" s="14"/>
      <c r="FR269" s="14"/>
      <c r="FS269" s="14"/>
      <c r="FT269" s="14"/>
      <c r="FU269" s="14"/>
      <c r="FV269" s="14"/>
      <c r="FW269" s="14"/>
      <c r="FX269" s="14"/>
      <c r="FY269" s="14"/>
      <c r="FZ269" s="14"/>
      <c r="GA269" s="14"/>
      <c r="GB269" s="14"/>
      <c r="GC269" s="14"/>
      <c r="GD269" s="14"/>
      <c r="GE269" s="14"/>
      <c r="GF269" s="14"/>
      <c r="GG269" s="14"/>
      <c r="GH269" s="14"/>
      <c r="GI269" s="14"/>
      <c r="GJ269" s="14"/>
      <c r="GK269" s="14"/>
      <c r="GL269" s="14"/>
      <c r="GM269" s="14"/>
      <c r="GN269" s="14"/>
      <c r="GO269" s="14"/>
      <c r="GP269" s="14"/>
      <c r="GQ269" s="14"/>
      <c r="GR269" s="14"/>
      <c r="GS269" s="14"/>
      <c r="GT269" s="14"/>
      <c r="GU269" s="14"/>
      <c r="GV269" s="14"/>
      <c r="GW269" s="14"/>
      <c r="GX269" s="14"/>
      <c r="GY269" s="14"/>
      <c r="GZ269" s="14"/>
      <c r="HA269" s="14"/>
      <c r="HB269" s="14"/>
      <c r="HC269" s="14"/>
      <c r="HD269" s="14"/>
      <c r="HE269" s="14"/>
      <c r="HF269" s="14"/>
      <c r="HG269" s="14"/>
      <c r="HH269" s="14"/>
      <c r="HI269" s="14"/>
      <c r="HJ269" s="14"/>
      <c r="HK269" s="14"/>
      <c r="HL269" s="14"/>
      <c r="HM269" s="14"/>
      <c r="HN269" s="14"/>
      <c r="HO269" s="14"/>
      <c r="HP269" s="14"/>
      <c r="HQ269" s="14"/>
      <c r="HR269" s="14"/>
      <c r="HS269" s="14"/>
      <c r="HT269" s="14"/>
      <c r="HU269" s="14"/>
      <c r="HV269" s="14"/>
      <c r="HW269" s="14"/>
      <c r="HX269" s="14"/>
      <c r="HY269" s="14"/>
      <c r="HZ269" s="14"/>
      <c r="IA269" s="14"/>
      <c r="IB269" s="14"/>
      <c r="IC269" s="14"/>
      <c r="ID269" s="14"/>
      <c r="IE269" s="14"/>
      <c r="IF269" s="14"/>
      <c r="IG269" s="14"/>
      <c r="IH269" s="14"/>
      <c r="II269" s="14"/>
      <c r="IJ269" s="14"/>
      <c r="IK269" s="14"/>
      <c r="IL269" s="14"/>
      <c r="IM269" s="14"/>
      <c r="IN269" s="14"/>
      <c r="IO269" s="14"/>
      <c r="IP269" s="14"/>
      <c r="IQ269" s="14"/>
      <c r="IR269" s="14"/>
      <c r="IS269" s="14"/>
      <c r="IT269" s="14"/>
      <c r="IU269" s="14"/>
      <c r="IV269" s="14"/>
    </row>
    <row r="270" spans="2:256" ht="23.1" customHeight="1" x14ac:dyDescent="0.25">
      <c r="B270" s="14"/>
      <c r="C270" s="39"/>
      <c r="D270" s="40"/>
      <c r="E270" s="40"/>
      <c r="F270" s="40"/>
      <c r="G270" s="42"/>
      <c r="H270" s="42"/>
      <c r="I270" s="42"/>
      <c r="J270" s="14"/>
      <c r="K270" s="14"/>
      <c r="L270" s="14"/>
      <c r="M270" s="14"/>
      <c r="N270" s="14"/>
      <c r="O270" s="51"/>
      <c r="P270" s="51"/>
      <c r="Q270" s="51"/>
      <c r="R270" s="14"/>
      <c r="S270" s="14"/>
      <c r="T270" s="14"/>
      <c r="U270" s="69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14"/>
      <c r="ES270" s="14"/>
      <c r="ET270" s="14"/>
      <c r="EU270" s="14"/>
      <c r="EV270" s="14"/>
      <c r="EW270" s="14"/>
      <c r="EX270" s="14"/>
      <c r="EY270" s="14"/>
      <c r="EZ270" s="14"/>
      <c r="FA270" s="14"/>
      <c r="FB270" s="14"/>
      <c r="FC270" s="14"/>
      <c r="FD270" s="14"/>
      <c r="FE270" s="14"/>
      <c r="FF270" s="14"/>
      <c r="FG270" s="14"/>
      <c r="FH270" s="14"/>
      <c r="FI270" s="14"/>
      <c r="FJ270" s="14"/>
      <c r="FK270" s="14"/>
      <c r="FL270" s="14"/>
      <c r="FM270" s="14"/>
      <c r="FN270" s="14"/>
      <c r="FO270" s="14"/>
      <c r="FP270" s="14"/>
      <c r="FQ270" s="14"/>
      <c r="FR270" s="14"/>
      <c r="FS270" s="14"/>
      <c r="FT270" s="14"/>
      <c r="FU270" s="14"/>
      <c r="FV270" s="14"/>
      <c r="FW270" s="14"/>
      <c r="FX270" s="14"/>
      <c r="FY270" s="14"/>
      <c r="FZ270" s="14"/>
      <c r="GA270" s="14"/>
      <c r="GB270" s="14"/>
      <c r="GC270" s="14"/>
      <c r="GD270" s="14"/>
      <c r="GE270" s="14"/>
      <c r="GF270" s="14"/>
      <c r="GG270" s="14"/>
      <c r="GH270" s="14"/>
      <c r="GI270" s="14"/>
      <c r="GJ270" s="14"/>
      <c r="GK270" s="14"/>
      <c r="GL270" s="14"/>
      <c r="GM270" s="14"/>
      <c r="GN270" s="14"/>
      <c r="GO270" s="14"/>
      <c r="GP270" s="14"/>
      <c r="GQ270" s="14"/>
      <c r="GR270" s="14"/>
      <c r="GS270" s="14"/>
      <c r="GT270" s="14"/>
      <c r="GU270" s="14"/>
      <c r="GV270" s="14"/>
      <c r="GW270" s="14"/>
      <c r="GX270" s="14"/>
      <c r="GY270" s="14"/>
      <c r="GZ270" s="14"/>
      <c r="HA270" s="14"/>
      <c r="HB270" s="14"/>
      <c r="HC270" s="14"/>
      <c r="HD270" s="14"/>
      <c r="HE270" s="14"/>
      <c r="HF270" s="14"/>
      <c r="HG270" s="14"/>
      <c r="HH270" s="14"/>
      <c r="HI270" s="14"/>
      <c r="HJ270" s="14"/>
      <c r="HK270" s="14"/>
      <c r="HL270" s="14"/>
      <c r="HM270" s="14"/>
      <c r="HN270" s="14"/>
      <c r="HO270" s="14"/>
      <c r="HP270" s="14"/>
      <c r="HQ270" s="14"/>
      <c r="HR270" s="14"/>
      <c r="HS270" s="14"/>
      <c r="HT270" s="14"/>
      <c r="HU270" s="14"/>
      <c r="HV270" s="14"/>
      <c r="HW270" s="14"/>
      <c r="HX270" s="14"/>
      <c r="HY270" s="14"/>
      <c r="HZ270" s="14"/>
      <c r="IA270" s="14"/>
      <c r="IB270" s="14"/>
      <c r="IC270" s="14"/>
      <c r="ID270" s="14"/>
      <c r="IE270" s="14"/>
      <c r="IF270" s="14"/>
      <c r="IG270" s="14"/>
      <c r="IH270" s="14"/>
      <c r="II270" s="14"/>
      <c r="IJ270" s="14"/>
      <c r="IK270" s="14"/>
      <c r="IL270" s="14"/>
      <c r="IM270" s="14"/>
      <c r="IN270" s="14"/>
      <c r="IO270" s="14"/>
      <c r="IP270" s="14"/>
      <c r="IQ270" s="14"/>
      <c r="IR270" s="14"/>
      <c r="IS270" s="14"/>
      <c r="IT270" s="14"/>
      <c r="IU270" s="14"/>
      <c r="IV270" s="14"/>
    </row>
    <row r="271" spans="2:256" ht="23.1" customHeight="1" x14ac:dyDescent="0.25">
      <c r="B271" s="14"/>
      <c r="C271" s="39"/>
      <c r="D271" s="40"/>
      <c r="E271" s="40"/>
      <c r="F271" s="40"/>
      <c r="G271" s="42"/>
      <c r="H271" s="42"/>
      <c r="I271" s="42"/>
      <c r="J271" s="14"/>
      <c r="K271" s="14"/>
      <c r="L271" s="14"/>
      <c r="M271" s="14"/>
      <c r="N271" s="14"/>
      <c r="O271" s="51"/>
      <c r="P271" s="51"/>
      <c r="Q271" s="51"/>
      <c r="R271" s="14"/>
      <c r="S271" s="14"/>
      <c r="T271" s="14"/>
      <c r="U271" s="69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14"/>
      <c r="ES271" s="14"/>
      <c r="ET271" s="14"/>
      <c r="EU271" s="14"/>
      <c r="EV271" s="14"/>
      <c r="EW271" s="14"/>
      <c r="EX271" s="14"/>
      <c r="EY271" s="14"/>
      <c r="EZ271" s="14"/>
      <c r="FA271" s="14"/>
      <c r="FB271" s="14"/>
      <c r="FC271" s="14"/>
      <c r="FD271" s="14"/>
      <c r="FE271" s="14"/>
      <c r="FF271" s="14"/>
      <c r="FG271" s="14"/>
      <c r="FH271" s="14"/>
      <c r="FI271" s="14"/>
      <c r="FJ271" s="14"/>
      <c r="FK271" s="14"/>
      <c r="FL271" s="14"/>
      <c r="FM271" s="14"/>
      <c r="FN271" s="14"/>
      <c r="FO271" s="14"/>
      <c r="FP271" s="14"/>
      <c r="FQ271" s="14"/>
      <c r="FR271" s="14"/>
      <c r="FS271" s="14"/>
      <c r="FT271" s="14"/>
      <c r="FU271" s="14"/>
      <c r="FV271" s="14"/>
      <c r="FW271" s="14"/>
      <c r="FX271" s="14"/>
      <c r="FY271" s="14"/>
      <c r="FZ271" s="14"/>
      <c r="GA271" s="14"/>
      <c r="GB271" s="14"/>
      <c r="GC271" s="14"/>
      <c r="GD271" s="14"/>
      <c r="GE271" s="14"/>
      <c r="GF271" s="14"/>
      <c r="GG271" s="14"/>
      <c r="GH271" s="14"/>
      <c r="GI271" s="14"/>
      <c r="GJ271" s="14"/>
      <c r="GK271" s="14"/>
      <c r="GL271" s="14"/>
      <c r="GM271" s="14"/>
      <c r="GN271" s="14"/>
      <c r="GO271" s="14"/>
      <c r="GP271" s="14"/>
      <c r="GQ271" s="14"/>
      <c r="GR271" s="14"/>
      <c r="GS271" s="14"/>
      <c r="GT271" s="14"/>
      <c r="GU271" s="14"/>
      <c r="GV271" s="14"/>
      <c r="GW271" s="14"/>
      <c r="GX271" s="14"/>
      <c r="GY271" s="14"/>
      <c r="GZ271" s="14"/>
      <c r="HA271" s="14"/>
      <c r="HB271" s="14"/>
      <c r="HC271" s="14"/>
      <c r="HD271" s="14"/>
      <c r="HE271" s="14"/>
      <c r="HF271" s="14"/>
      <c r="HG271" s="14"/>
      <c r="HH271" s="14"/>
      <c r="HI271" s="14"/>
      <c r="HJ271" s="14"/>
      <c r="HK271" s="14"/>
      <c r="HL271" s="14"/>
      <c r="HM271" s="14"/>
      <c r="HN271" s="14"/>
      <c r="HO271" s="14"/>
      <c r="HP271" s="14"/>
      <c r="HQ271" s="14"/>
      <c r="HR271" s="14"/>
      <c r="HS271" s="14"/>
      <c r="HT271" s="14"/>
      <c r="HU271" s="14"/>
      <c r="HV271" s="14"/>
      <c r="HW271" s="14"/>
      <c r="HX271" s="14"/>
      <c r="HY271" s="14"/>
      <c r="HZ271" s="14"/>
      <c r="IA271" s="14"/>
      <c r="IB271" s="14"/>
      <c r="IC271" s="14"/>
      <c r="ID271" s="14"/>
      <c r="IE271" s="14"/>
      <c r="IF271" s="14"/>
      <c r="IG271" s="14"/>
      <c r="IH271" s="14"/>
      <c r="II271" s="14"/>
      <c r="IJ271" s="14"/>
      <c r="IK271" s="14"/>
      <c r="IL271" s="14"/>
      <c r="IM271" s="14"/>
      <c r="IN271" s="14"/>
      <c r="IO271" s="14"/>
      <c r="IP271" s="14"/>
      <c r="IQ271" s="14"/>
      <c r="IR271" s="14"/>
      <c r="IS271" s="14"/>
      <c r="IT271" s="14"/>
      <c r="IU271" s="14"/>
      <c r="IV271" s="14"/>
    </row>
    <row r="272" spans="2:256" ht="23.1" customHeight="1" x14ac:dyDescent="0.25">
      <c r="B272" s="14"/>
      <c r="C272" s="39"/>
      <c r="D272" s="40"/>
      <c r="E272" s="40"/>
      <c r="F272" s="40"/>
      <c r="G272" s="42"/>
      <c r="H272" s="42"/>
      <c r="I272" s="42"/>
      <c r="J272" s="14"/>
      <c r="K272" s="14"/>
      <c r="L272" s="14"/>
      <c r="M272" s="14"/>
      <c r="N272" s="14"/>
      <c r="O272" s="51"/>
      <c r="P272" s="51"/>
      <c r="Q272" s="51"/>
      <c r="R272" s="14"/>
      <c r="S272" s="14"/>
      <c r="T272" s="14"/>
      <c r="U272" s="69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14"/>
      <c r="ES272" s="14"/>
      <c r="ET272" s="14"/>
      <c r="EU272" s="14"/>
      <c r="EV272" s="14"/>
      <c r="EW272" s="14"/>
      <c r="EX272" s="14"/>
      <c r="EY272" s="14"/>
      <c r="EZ272" s="14"/>
      <c r="FA272" s="14"/>
      <c r="FB272" s="14"/>
      <c r="FC272" s="14"/>
      <c r="FD272" s="14"/>
      <c r="FE272" s="14"/>
      <c r="FF272" s="14"/>
      <c r="FG272" s="14"/>
      <c r="FH272" s="14"/>
      <c r="FI272" s="14"/>
      <c r="FJ272" s="14"/>
      <c r="FK272" s="14"/>
      <c r="FL272" s="14"/>
      <c r="FM272" s="14"/>
      <c r="FN272" s="14"/>
      <c r="FO272" s="14"/>
      <c r="FP272" s="14"/>
      <c r="FQ272" s="14"/>
      <c r="FR272" s="14"/>
      <c r="FS272" s="14"/>
      <c r="FT272" s="14"/>
      <c r="FU272" s="14"/>
      <c r="FV272" s="14"/>
      <c r="FW272" s="14"/>
      <c r="FX272" s="14"/>
      <c r="FY272" s="14"/>
      <c r="FZ272" s="14"/>
      <c r="GA272" s="14"/>
      <c r="GB272" s="14"/>
      <c r="GC272" s="14"/>
      <c r="GD272" s="14"/>
      <c r="GE272" s="14"/>
      <c r="GF272" s="14"/>
      <c r="GG272" s="14"/>
      <c r="GH272" s="14"/>
      <c r="GI272" s="14"/>
      <c r="GJ272" s="14"/>
      <c r="GK272" s="14"/>
      <c r="GL272" s="14"/>
      <c r="GM272" s="14"/>
      <c r="GN272" s="14"/>
      <c r="GO272" s="14"/>
      <c r="GP272" s="14"/>
      <c r="GQ272" s="14"/>
      <c r="GR272" s="14"/>
      <c r="GS272" s="14"/>
      <c r="GT272" s="14"/>
      <c r="GU272" s="14"/>
      <c r="GV272" s="14"/>
      <c r="GW272" s="14"/>
      <c r="GX272" s="14"/>
      <c r="GY272" s="14"/>
      <c r="GZ272" s="14"/>
      <c r="HA272" s="14"/>
      <c r="HB272" s="14"/>
      <c r="HC272" s="14"/>
      <c r="HD272" s="14"/>
      <c r="HE272" s="14"/>
      <c r="HF272" s="14"/>
      <c r="HG272" s="14"/>
      <c r="HH272" s="14"/>
      <c r="HI272" s="14"/>
      <c r="HJ272" s="14"/>
      <c r="HK272" s="14"/>
      <c r="HL272" s="14"/>
      <c r="HM272" s="14"/>
      <c r="HN272" s="14"/>
      <c r="HO272" s="14"/>
      <c r="HP272" s="14"/>
      <c r="HQ272" s="14"/>
      <c r="HR272" s="14"/>
      <c r="HS272" s="14"/>
      <c r="HT272" s="14"/>
      <c r="HU272" s="14"/>
      <c r="HV272" s="14"/>
      <c r="HW272" s="14"/>
      <c r="HX272" s="14"/>
      <c r="HY272" s="14"/>
      <c r="HZ272" s="14"/>
      <c r="IA272" s="14"/>
      <c r="IB272" s="14"/>
      <c r="IC272" s="14"/>
      <c r="ID272" s="14"/>
      <c r="IE272" s="14"/>
      <c r="IF272" s="14"/>
      <c r="IG272" s="14"/>
      <c r="IH272" s="14"/>
      <c r="II272" s="14"/>
      <c r="IJ272" s="14"/>
      <c r="IK272" s="14"/>
      <c r="IL272" s="14"/>
      <c r="IM272" s="14"/>
      <c r="IN272" s="14"/>
      <c r="IO272" s="14"/>
      <c r="IP272" s="14"/>
      <c r="IQ272" s="14"/>
      <c r="IR272" s="14"/>
      <c r="IS272" s="14"/>
      <c r="IT272" s="14"/>
      <c r="IU272" s="14"/>
      <c r="IV272" s="14"/>
    </row>
    <row r="273" spans="2:256" ht="23.1" customHeight="1" x14ac:dyDescent="0.25">
      <c r="B273" s="14"/>
      <c r="C273" s="39"/>
      <c r="D273" s="40"/>
      <c r="E273" s="40"/>
      <c r="F273" s="40"/>
      <c r="G273" s="42"/>
      <c r="H273" s="42"/>
      <c r="I273" s="42"/>
      <c r="J273" s="14"/>
      <c r="K273" s="14"/>
      <c r="L273" s="14"/>
      <c r="M273" s="14"/>
      <c r="N273" s="14"/>
      <c r="O273" s="51"/>
      <c r="P273" s="51"/>
      <c r="Q273" s="51"/>
      <c r="R273" s="14"/>
      <c r="S273" s="14"/>
      <c r="T273" s="14"/>
      <c r="U273" s="69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14"/>
      <c r="ES273" s="14"/>
      <c r="ET273" s="14"/>
      <c r="EU273" s="14"/>
      <c r="EV273" s="14"/>
      <c r="EW273" s="14"/>
      <c r="EX273" s="14"/>
      <c r="EY273" s="14"/>
      <c r="EZ273" s="14"/>
      <c r="FA273" s="14"/>
      <c r="FB273" s="14"/>
      <c r="FC273" s="14"/>
      <c r="FD273" s="14"/>
      <c r="FE273" s="14"/>
      <c r="FF273" s="14"/>
      <c r="FG273" s="14"/>
      <c r="FH273" s="14"/>
      <c r="FI273" s="14"/>
      <c r="FJ273" s="14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14"/>
      <c r="GC273" s="14"/>
      <c r="GD273" s="14"/>
      <c r="GE273" s="14"/>
      <c r="GF273" s="14"/>
      <c r="GG273" s="14"/>
      <c r="GH273" s="14"/>
      <c r="GI273" s="14"/>
      <c r="GJ273" s="14"/>
      <c r="GK273" s="14"/>
      <c r="GL273" s="14"/>
      <c r="GM273" s="14"/>
      <c r="GN273" s="14"/>
      <c r="GO273" s="14"/>
      <c r="GP273" s="14"/>
      <c r="GQ273" s="14"/>
      <c r="GR273" s="14"/>
      <c r="GS273" s="14"/>
      <c r="GT273" s="14"/>
      <c r="GU273" s="14"/>
      <c r="GV273" s="14"/>
      <c r="GW273" s="14"/>
      <c r="GX273" s="14"/>
      <c r="GY273" s="14"/>
      <c r="GZ273" s="14"/>
      <c r="HA273" s="14"/>
      <c r="HB273" s="14"/>
      <c r="HC273" s="14"/>
      <c r="HD273" s="14"/>
      <c r="HE273" s="14"/>
      <c r="HF273" s="14"/>
      <c r="HG273" s="14"/>
      <c r="HH273" s="14"/>
      <c r="HI273" s="14"/>
      <c r="HJ273" s="14"/>
      <c r="HK273" s="14"/>
      <c r="HL273" s="14"/>
      <c r="HM273" s="14"/>
      <c r="HN273" s="14"/>
      <c r="HO273" s="14"/>
      <c r="HP273" s="14"/>
      <c r="HQ273" s="14"/>
      <c r="HR273" s="14"/>
      <c r="HS273" s="14"/>
      <c r="HT273" s="14"/>
      <c r="HU273" s="14"/>
      <c r="HV273" s="14"/>
      <c r="HW273" s="14"/>
      <c r="HX273" s="14"/>
      <c r="HY273" s="14"/>
      <c r="HZ273" s="14"/>
      <c r="IA273" s="14"/>
      <c r="IB273" s="14"/>
      <c r="IC273" s="14"/>
      <c r="ID273" s="14"/>
      <c r="IE273" s="14"/>
      <c r="IF273" s="14"/>
      <c r="IG273" s="14"/>
      <c r="IH273" s="14"/>
      <c r="II273" s="14"/>
      <c r="IJ273" s="14"/>
      <c r="IK273" s="14"/>
      <c r="IL273" s="14"/>
      <c r="IM273" s="14"/>
      <c r="IN273" s="14"/>
      <c r="IO273" s="14"/>
      <c r="IP273" s="14"/>
      <c r="IQ273" s="14"/>
      <c r="IR273" s="14"/>
      <c r="IS273" s="14"/>
      <c r="IT273" s="14"/>
      <c r="IU273" s="14"/>
      <c r="IV273" s="14"/>
    </row>
    <row r="274" spans="2:256" ht="23.1" customHeight="1" x14ac:dyDescent="0.25">
      <c r="B274" s="14"/>
      <c r="C274" s="39"/>
      <c r="D274" s="40"/>
      <c r="E274" s="40"/>
      <c r="F274" s="40"/>
      <c r="G274" s="42"/>
      <c r="H274" s="42"/>
      <c r="I274" s="42"/>
      <c r="J274" s="14"/>
      <c r="K274" s="14"/>
      <c r="L274" s="14"/>
      <c r="M274" s="14"/>
      <c r="N274" s="14"/>
      <c r="O274" s="51"/>
      <c r="P274" s="51"/>
      <c r="Q274" s="51"/>
      <c r="R274" s="14"/>
      <c r="S274" s="14"/>
      <c r="T274" s="14"/>
      <c r="U274" s="69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14"/>
      <c r="ES274" s="14"/>
      <c r="ET274" s="14"/>
      <c r="EU274" s="14"/>
      <c r="EV274" s="14"/>
      <c r="EW274" s="14"/>
      <c r="EX274" s="14"/>
      <c r="EY274" s="14"/>
      <c r="EZ274" s="14"/>
      <c r="FA274" s="14"/>
      <c r="FB274" s="14"/>
      <c r="FC274" s="14"/>
      <c r="FD274" s="14"/>
      <c r="FE274" s="14"/>
      <c r="FF274" s="14"/>
      <c r="FG274" s="14"/>
      <c r="FH274" s="14"/>
      <c r="FI274" s="14"/>
      <c r="FJ274" s="14"/>
      <c r="FK274" s="14"/>
      <c r="FL274" s="14"/>
      <c r="FM274" s="14"/>
      <c r="FN274" s="14"/>
      <c r="FO274" s="14"/>
      <c r="FP274" s="14"/>
      <c r="FQ274" s="14"/>
      <c r="FR274" s="14"/>
      <c r="FS274" s="14"/>
      <c r="FT274" s="14"/>
      <c r="FU274" s="14"/>
      <c r="FV274" s="14"/>
      <c r="FW274" s="14"/>
      <c r="FX274" s="14"/>
      <c r="FY274" s="14"/>
      <c r="FZ274" s="14"/>
      <c r="GA274" s="14"/>
      <c r="GB274" s="14"/>
      <c r="GC274" s="14"/>
      <c r="GD274" s="14"/>
      <c r="GE274" s="14"/>
      <c r="GF274" s="14"/>
      <c r="GG274" s="14"/>
      <c r="GH274" s="14"/>
      <c r="GI274" s="14"/>
      <c r="GJ274" s="14"/>
      <c r="GK274" s="14"/>
      <c r="GL274" s="14"/>
      <c r="GM274" s="14"/>
      <c r="GN274" s="14"/>
      <c r="GO274" s="14"/>
      <c r="GP274" s="14"/>
      <c r="GQ274" s="14"/>
      <c r="GR274" s="14"/>
      <c r="GS274" s="14"/>
      <c r="GT274" s="14"/>
      <c r="GU274" s="14"/>
      <c r="GV274" s="14"/>
      <c r="GW274" s="14"/>
      <c r="GX274" s="14"/>
      <c r="GY274" s="14"/>
      <c r="GZ274" s="14"/>
      <c r="HA274" s="14"/>
      <c r="HB274" s="14"/>
      <c r="HC274" s="14"/>
      <c r="HD274" s="14"/>
      <c r="HE274" s="14"/>
      <c r="HF274" s="14"/>
      <c r="HG274" s="14"/>
      <c r="HH274" s="14"/>
      <c r="HI274" s="14"/>
      <c r="HJ274" s="14"/>
      <c r="HK274" s="14"/>
      <c r="HL274" s="14"/>
      <c r="HM274" s="14"/>
      <c r="HN274" s="14"/>
      <c r="HO274" s="14"/>
      <c r="HP274" s="14"/>
      <c r="HQ274" s="14"/>
      <c r="HR274" s="14"/>
      <c r="HS274" s="14"/>
      <c r="HT274" s="14"/>
      <c r="HU274" s="14"/>
      <c r="HV274" s="14"/>
      <c r="HW274" s="14"/>
      <c r="HX274" s="14"/>
      <c r="HY274" s="14"/>
      <c r="HZ274" s="14"/>
      <c r="IA274" s="14"/>
      <c r="IB274" s="14"/>
      <c r="IC274" s="14"/>
      <c r="ID274" s="14"/>
      <c r="IE274" s="14"/>
      <c r="IF274" s="14"/>
      <c r="IG274" s="14"/>
      <c r="IH274" s="14"/>
      <c r="II274" s="14"/>
      <c r="IJ274" s="14"/>
      <c r="IK274" s="14"/>
      <c r="IL274" s="14"/>
      <c r="IM274" s="14"/>
      <c r="IN274" s="14"/>
      <c r="IO274" s="14"/>
      <c r="IP274" s="14"/>
      <c r="IQ274" s="14"/>
      <c r="IR274" s="14"/>
      <c r="IS274" s="14"/>
      <c r="IT274" s="14"/>
      <c r="IU274" s="14"/>
      <c r="IV274" s="14"/>
    </row>
    <row r="275" spans="2:256" ht="23.1" customHeight="1" x14ac:dyDescent="0.25">
      <c r="B275" s="14"/>
      <c r="C275" s="39"/>
      <c r="D275" s="40"/>
      <c r="E275" s="40"/>
      <c r="F275" s="40"/>
      <c r="G275" s="42"/>
      <c r="H275" s="42"/>
      <c r="I275" s="42"/>
      <c r="J275" s="14"/>
      <c r="K275" s="14"/>
      <c r="L275" s="14"/>
      <c r="M275" s="14"/>
      <c r="N275" s="14"/>
      <c r="O275" s="51"/>
      <c r="P275" s="51"/>
      <c r="Q275" s="51"/>
      <c r="R275" s="14"/>
      <c r="S275" s="14"/>
      <c r="T275" s="14"/>
      <c r="U275" s="69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14"/>
      <c r="ES275" s="14"/>
      <c r="ET275" s="14"/>
      <c r="EU275" s="14"/>
      <c r="EV275" s="14"/>
      <c r="EW275" s="14"/>
      <c r="EX275" s="14"/>
      <c r="EY275" s="14"/>
      <c r="EZ275" s="14"/>
      <c r="FA275" s="14"/>
      <c r="FB275" s="14"/>
      <c r="FC275" s="14"/>
      <c r="FD275" s="14"/>
      <c r="FE275" s="14"/>
      <c r="FF275" s="14"/>
      <c r="FG275" s="14"/>
      <c r="FH275" s="14"/>
      <c r="FI275" s="14"/>
      <c r="FJ275" s="14"/>
      <c r="FK275" s="14"/>
      <c r="FL275" s="14"/>
      <c r="FM275" s="14"/>
      <c r="FN275" s="14"/>
      <c r="FO275" s="14"/>
      <c r="FP275" s="14"/>
      <c r="FQ275" s="14"/>
      <c r="FR275" s="14"/>
      <c r="FS275" s="14"/>
      <c r="FT275" s="14"/>
      <c r="FU275" s="14"/>
      <c r="FV275" s="14"/>
      <c r="FW275" s="14"/>
      <c r="FX275" s="14"/>
      <c r="FY275" s="14"/>
      <c r="FZ275" s="14"/>
      <c r="GA275" s="14"/>
      <c r="GB275" s="14"/>
      <c r="GC275" s="14"/>
      <c r="GD275" s="14"/>
      <c r="GE275" s="14"/>
      <c r="GF275" s="14"/>
      <c r="GG275" s="14"/>
      <c r="GH275" s="14"/>
      <c r="GI275" s="14"/>
      <c r="GJ275" s="14"/>
      <c r="GK275" s="14"/>
      <c r="GL275" s="14"/>
      <c r="GM275" s="14"/>
      <c r="GN275" s="14"/>
      <c r="GO275" s="14"/>
      <c r="GP275" s="14"/>
      <c r="GQ275" s="14"/>
      <c r="GR275" s="14"/>
      <c r="GS275" s="14"/>
      <c r="GT275" s="14"/>
      <c r="GU275" s="14"/>
      <c r="GV275" s="14"/>
      <c r="GW275" s="14"/>
      <c r="GX275" s="14"/>
      <c r="GY275" s="14"/>
      <c r="GZ275" s="14"/>
      <c r="HA275" s="14"/>
      <c r="HB275" s="14"/>
      <c r="HC275" s="14"/>
      <c r="HD275" s="14"/>
      <c r="HE275" s="14"/>
      <c r="HF275" s="14"/>
      <c r="HG275" s="14"/>
      <c r="HH275" s="14"/>
      <c r="HI275" s="14"/>
      <c r="HJ275" s="14"/>
      <c r="HK275" s="14"/>
      <c r="HL275" s="14"/>
      <c r="HM275" s="14"/>
      <c r="HN275" s="14"/>
      <c r="HO275" s="14"/>
      <c r="HP275" s="14"/>
      <c r="HQ275" s="14"/>
      <c r="HR275" s="14"/>
      <c r="HS275" s="14"/>
      <c r="HT275" s="14"/>
      <c r="HU275" s="14"/>
      <c r="HV275" s="14"/>
      <c r="HW275" s="14"/>
      <c r="HX275" s="14"/>
      <c r="HY275" s="14"/>
      <c r="HZ275" s="14"/>
      <c r="IA275" s="14"/>
      <c r="IB275" s="14"/>
      <c r="IC275" s="14"/>
      <c r="ID275" s="14"/>
      <c r="IE275" s="14"/>
      <c r="IF275" s="14"/>
      <c r="IG275" s="14"/>
      <c r="IH275" s="14"/>
      <c r="II275" s="14"/>
      <c r="IJ275" s="14"/>
      <c r="IK275" s="14"/>
      <c r="IL275" s="14"/>
      <c r="IM275" s="14"/>
      <c r="IN275" s="14"/>
      <c r="IO275" s="14"/>
      <c r="IP275" s="14"/>
      <c r="IQ275" s="14"/>
      <c r="IR275" s="14"/>
      <c r="IS275" s="14"/>
      <c r="IT275" s="14"/>
      <c r="IU275" s="14"/>
      <c r="IV275" s="14"/>
    </row>
  </sheetData>
  <mergeCells count="3">
    <mergeCell ref="C4:AF4"/>
    <mergeCell ref="C2:AF2"/>
    <mergeCell ref="C3:AF3"/>
  </mergeCells>
  <phoneticPr fontId="3" type="noConversion"/>
  <pageMargins left="0" right="0" top="0.19685039370078741" bottom="0.19685039370078741" header="0.51181102362204722" footer="0.51181102362204722"/>
  <pageSetup paperSize="9" scale="98" orientation="portrait" r:id="rId1"/>
  <headerFooter alignWithMargins="0">
    <oddFooter>&amp;A&amp;Rעמוד &amp;P</oddFooter>
  </headerFooter>
  <rowBreaks count="8" manualBreakCount="8">
    <brk id="30" max="16383" man="1"/>
    <brk id="56" max="16383" man="1"/>
    <brk id="82" max="16383" man="1"/>
    <brk id="108" max="16383" man="1"/>
    <brk id="134" max="16383" man="1"/>
    <brk id="160" max="16383" man="1"/>
    <brk id="187" max="16383" man="1"/>
    <brk id="21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53"/>
  <sheetViews>
    <sheetView rightToLeft="1" view="pageBreakPreview" zoomScale="60" workbookViewId="0">
      <selection activeCell="AB483" sqref="AB483"/>
    </sheetView>
  </sheetViews>
  <sheetFormatPr defaultRowHeight="23.1" customHeight="1" x14ac:dyDescent="0.25"/>
  <cols>
    <col min="1" max="1" width="4.42578125" style="290" customWidth="1"/>
    <col min="2" max="2" width="13.85546875" style="290" customWidth="1"/>
    <col min="3" max="3" width="25.5703125" style="290" customWidth="1"/>
    <col min="4" max="4" width="18" style="290" hidden="1" customWidth="1"/>
    <col min="5" max="5" width="0.140625" style="290" hidden="1" customWidth="1"/>
    <col min="6" max="6" width="17" style="290" hidden="1" customWidth="1"/>
    <col min="7" max="7" width="18.7109375" style="290" hidden="1" customWidth="1"/>
    <col min="8" max="8" width="17" style="290" hidden="1" customWidth="1"/>
    <col min="9" max="9" width="15.5703125" style="290" hidden="1" customWidth="1"/>
    <col min="10" max="10" width="16.5703125" style="290" hidden="1" customWidth="1"/>
    <col min="11" max="13" width="16.85546875" style="290" hidden="1" customWidth="1"/>
    <col min="14" max="15" width="17.7109375" style="290" hidden="1" customWidth="1"/>
    <col min="16" max="16" width="17" style="290" hidden="1" customWidth="1"/>
    <col min="17" max="17" width="15.42578125" style="290" hidden="1" customWidth="1"/>
    <col min="18" max="18" width="17" style="290" hidden="1" customWidth="1"/>
    <col min="19" max="19" width="21.140625" style="290" hidden="1" customWidth="1"/>
    <col min="20" max="20" width="16.28515625" style="290" hidden="1" customWidth="1"/>
    <col min="21" max="21" width="18.28515625" style="290" hidden="1" customWidth="1"/>
    <col min="22" max="22" width="20" style="290" hidden="1" customWidth="1"/>
    <col min="23" max="23" width="17" style="290" hidden="1" customWidth="1"/>
    <col min="24" max="24" width="18.85546875" style="290" hidden="1" customWidth="1"/>
    <col min="25" max="25" width="21" style="290" customWidth="1"/>
    <col min="26" max="26" width="22" style="290" customWidth="1"/>
    <col min="27" max="27" width="24.5703125" style="290" customWidth="1"/>
    <col min="28" max="16384" width="9.140625" style="290"/>
  </cols>
  <sheetData>
    <row r="1" spans="2:27" ht="39" customHeight="1" x14ac:dyDescent="0.35">
      <c r="B1" s="382"/>
      <c r="C1" s="382"/>
      <c r="D1" s="382"/>
      <c r="E1" s="382"/>
      <c r="F1" s="382"/>
      <c r="G1" s="309"/>
      <c r="H1" s="309"/>
      <c r="I1" s="71" t="s">
        <v>429</v>
      </c>
      <c r="J1" s="309"/>
      <c r="K1" s="309"/>
      <c r="L1" s="309"/>
      <c r="M1" s="309"/>
      <c r="N1" s="309"/>
      <c r="O1" s="309"/>
      <c r="P1" s="309"/>
    </row>
    <row r="2" spans="2:27" ht="37.5" customHeight="1" thickBot="1" x14ac:dyDescent="0.4">
      <c r="B2" s="382"/>
      <c r="C2" s="382"/>
      <c r="D2" s="382"/>
      <c r="E2" s="382"/>
      <c r="F2" s="382"/>
      <c r="G2" s="309"/>
      <c r="H2" s="309"/>
      <c r="I2" s="71" t="s">
        <v>431</v>
      </c>
      <c r="J2" s="309"/>
      <c r="K2" s="309"/>
      <c r="L2" s="309"/>
      <c r="M2" s="309"/>
      <c r="N2" s="309"/>
      <c r="O2" s="309"/>
      <c r="P2" s="309"/>
    </row>
    <row r="3" spans="2:27" ht="60.75" customHeight="1" thickBot="1" x14ac:dyDescent="0.35">
      <c r="B3" s="351" t="s">
        <v>256</v>
      </c>
      <c r="C3" s="352" t="s">
        <v>257</v>
      </c>
      <c r="D3" s="353" t="s">
        <v>399</v>
      </c>
      <c r="E3" s="353" t="s">
        <v>392</v>
      </c>
      <c r="F3" s="353" t="s">
        <v>415</v>
      </c>
      <c r="G3" s="353" t="s">
        <v>400</v>
      </c>
      <c r="H3" s="353" t="s">
        <v>453</v>
      </c>
      <c r="I3" s="79" t="s">
        <v>427</v>
      </c>
      <c r="J3" s="79" t="s">
        <v>455</v>
      </c>
      <c r="K3" s="79" t="s">
        <v>428</v>
      </c>
      <c r="L3" s="79" t="s">
        <v>456</v>
      </c>
      <c r="M3" s="79" t="s">
        <v>473</v>
      </c>
      <c r="N3" s="79" t="s">
        <v>591</v>
      </c>
      <c r="O3" s="79" t="s">
        <v>590</v>
      </c>
      <c r="P3" s="79" t="s">
        <v>476</v>
      </c>
      <c r="Q3" s="80" t="s">
        <v>595</v>
      </c>
      <c r="R3" s="80" t="s">
        <v>599</v>
      </c>
      <c r="S3" s="354" t="s">
        <v>592</v>
      </c>
      <c r="T3" s="80" t="s">
        <v>605</v>
      </c>
      <c r="U3" s="80" t="s">
        <v>599</v>
      </c>
      <c r="V3" s="354" t="s">
        <v>657</v>
      </c>
      <c r="W3" s="355" t="s">
        <v>656</v>
      </c>
      <c r="X3" s="355" t="s">
        <v>655</v>
      </c>
      <c r="Y3" s="352" t="s">
        <v>628</v>
      </c>
      <c r="Z3" s="352" t="s">
        <v>692</v>
      </c>
      <c r="AA3" s="352" t="s">
        <v>691</v>
      </c>
    </row>
    <row r="4" spans="2:27" ht="19.5" customHeight="1" x14ac:dyDescent="0.25">
      <c r="B4" s="356"/>
      <c r="C4" s="357"/>
      <c r="D4" s="358"/>
      <c r="E4" s="358"/>
      <c r="F4" s="358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60"/>
      <c r="T4" s="359"/>
      <c r="U4" s="359"/>
      <c r="V4" s="360"/>
      <c r="W4" s="360"/>
      <c r="X4" s="360"/>
      <c r="Y4" s="360"/>
      <c r="Z4" s="360"/>
      <c r="AA4" s="360"/>
    </row>
    <row r="5" spans="2:27" ht="22.5" hidden="1" customHeight="1" x14ac:dyDescent="0.25">
      <c r="B5" s="361"/>
      <c r="C5" s="362"/>
      <c r="D5" s="363"/>
      <c r="E5" s="363"/>
      <c r="F5" s="363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5"/>
      <c r="T5" s="364"/>
      <c r="U5" s="364"/>
      <c r="V5" s="365"/>
      <c r="W5" s="365"/>
      <c r="X5" s="365"/>
      <c r="Y5" s="365"/>
      <c r="Z5" s="365"/>
      <c r="AA5" s="365"/>
    </row>
    <row r="6" spans="2:27" ht="38.25" customHeight="1" x14ac:dyDescent="0.25">
      <c r="B6" s="366">
        <v>6</v>
      </c>
      <c r="C6" s="367" t="s">
        <v>258</v>
      </c>
      <c r="D6" s="368" t="e">
        <f>הוצאות!C70</f>
        <v>#REF!</v>
      </c>
      <c r="E6" s="368" t="e">
        <f>הוצאות!D70</f>
        <v>#REF!</v>
      </c>
      <c r="F6" s="368" t="e">
        <f>הוצאות!E70</f>
        <v>#REF!</v>
      </c>
      <c r="G6" s="368" t="e">
        <f>הוצאות!F70</f>
        <v>#REF!</v>
      </c>
      <c r="H6" s="368" t="e">
        <f>הוצאות!G70</f>
        <v>#REF!</v>
      </c>
      <c r="I6" s="368" t="e">
        <f>הוצאות!H70</f>
        <v>#REF!</v>
      </c>
      <c r="J6" s="368" t="e">
        <f>הוצאות!I70</f>
        <v>#REF!</v>
      </c>
      <c r="K6" s="368" t="e">
        <f>הוצאות!J70</f>
        <v>#REF!</v>
      </c>
      <c r="L6" s="368" t="e">
        <f>הוצאות!K70</f>
        <v>#REF!</v>
      </c>
      <c r="M6" s="368" t="e">
        <f>הוצאות!N70</f>
        <v>#REF!</v>
      </c>
      <c r="N6" s="368" t="e">
        <f>הוצאות!O70</f>
        <v>#REF!</v>
      </c>
      <c r="O6" s="368" t="e">
        <f>הוצאות!P70</f>
        <v>#REF!</v>
      </c>
      <c r="P6" s="368" t="e">
        <f>הוצאות!Q70</f>
        <v>#REF!</v>
      </c>
      <c r="Q6" s="368" t="e">
        <f>הוצאות!R70</f>
        <v>#REF!</v>
      </c>
      <c r="R6" s="368" t="e">
        <f>הוצאות!S70</f>
        <v>#REF!</v>
      </c>
      <c r="S6" s="369" t="e">
        <f>הוצאות!T70</f>
        <v>#REF!</v>
      </c>
      <c r="T6" s="369" t="e">
        <f>הוצאות!U70</f>
        <v>#REF!</v>
      </c>
      <c r="U6" s="369" t="e">
        <f>הוצאות!V70</f>
        <v>#REF!</v>
      </c>
      <c r="V6" s="369" t="e">
        <f>הוצאות!W70</f>
        <v>#REF!</v>
      </c>
      <c r="W6" s="369" t="e">
        <f>הוצאות!X70</f>
        <v>#REF!</v>
      </c>
      <c r="X6" s="369" t="e">
        <f>הוצאות!Y70</f>
        <v>#REF!</v>
      </c>
      <c r="Y6" s="369">
        <f>הוצאות!Z70</f>
        <v>17796600</v>
      </c>
      <c r="Z6" s="369">
        <f>הוצאות!AA70</f>
        <v>17857400</v>
      </c>
      <c r="AA6" s="369">
        <f>הוצאות!AB70</f>
        <v>17734800</v>
      </c>
    </row>
    <row r="7" spans="2:27" ht="23.1" customHeight="1" x14ac:dyDescent="0.25">
      <c r="B7" s="366"/>
      <c r="C7" s="367"/>
      <c r="D7" s="368"/>
      <c r="E7" s="368"/>
      <c r="F7" s="368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5"/>
      <c r="T7" s="365"/>
      <c r="U7" s="365"/>
      <c r="V7" s="365"/>
      <c r="W7" s="365"/>
      <c r="X7" s="365"/>
      <c r="Y7" s="365"/>
      <c r="Z7" s="365"/>
      <c r="AA7" s="365"/>
    </row>
    <row r="8" spans="2:27" ht="23.1" customHeight="1" x14ac:dyDescent="0.25">
      <c r="B8" s="361"/>
      <c r="C8" s="362"/>
      <c r="D8" s="363"/>
      <c r="E8" s="363"/>
      <c r="F8" s="363"/>
      <c r="G8" s="364"/>
      <c r="H8" s="364"/>
      <c r="I8" s="364"/>
      <c r="J8" s="364"/>
      <c r="K8" s="364"/>
      <c r="L8" s="364"/>
      <c r="M8" s="364"/>
      <c r="N8" s="364"/>
      <c r="O8" s="364"/>
      <c r="P8" s="364"/>
      <c r="Q8" s="364"/>
      <c r="R8" s="364"/>
      <c r="S8" s="365"/>
      <c r="T8" s="365"/>
      <c r="U8" s="365"/>
      <c r="V8" s="365"/>
      <c r="W8" s="365"/>
      <c r="X8" s="365"/>
      <c r="Y8" s="365"/>
      <c r="Z8" s="365"/>
      <c r="AA8" s="365"/>
    </row>
    <row r="9" spans="2:27" ht="32.25" customHeight="1" x14ac:dyDescent="0.25">
      <c r="B9" s="366">
        <v>7</v>
      </c>
      <c r="C9" s="367" t="s">
        <v>259</v>
      </c>
      <c r="D9" s="368">
        <f>הוצאות!C145</f>
        <v>11201000</v>
      </c>
      <c r="E9" s="368">
        <f>הוצאות!D145</f>
        <v>0</v>
      </c>
      <c r="F9" s="368">
        <f>הוצאות!E145</f>
        <v>11440732</v>
      </c>
      <c r="G9" s="368">
        <f>הוצאות!F145</f>
        <v>12651957</v>
      </c>
      <c r="H9" s="368">
        <f>הוצאות!G145</f>
        <v>16864080</v>
      </c>
      <c r="I9" s="368">
        <f>הוצאות!H145</f>
        <v>9009631</v>
      </c>
      <c r="J9" s="368">
        <f>הוצאות!I145</f>
        <v>12392502</v>
      </c>
      <c r="K9" s="368">
        <f>הוצאות!J145</f>
        <v>0</v>
      </c>
      <c r="L9" s="368">
        <f>הוצאות!K145</f>
        <v>16337922.666666668</v>
      </c>
      <c r="M9" s="368">
        <f>הוצאות!N145</f>
        <v>17230400</v>
      </c>
      <c r="N9" s="368">
        <f>הוצאות!O145</f>
        <v>18450300</v>
      </c>
      <c r="O9" s="368">
        <f>הוצאות!P145</f>
        <v>18369117.714285716</v>
      </c>
      <c r="P9" s="368">
        <f>הוצאות!Q145</f>
        <v>18638544.333333336</v>
      </c>
      <c r="Q9" s="368">
        <f>הוצאות!R145</f>
        <v>8361303.0130999992</v>
      </c>
      <c r="R9" s="368">
        <f>הוצאות!S145</f>
        <v>17366606.026199996</v>
      </c>
      <c r="S9" s="369">
        <f>הוצאות!T145</f>
        <v>18301102.0462</v>
      </c>
      <c r="T9" s="369">
        <f>הוצאות!U145</f>
        <v>15267048</v>
      </c>
      <c r="U9" s="369">
        <f>הוצאות!V145</f>
        <v>18370057.599999998</v>
      </c>
      <c r="V9" s="369">
        <f>הוצאות!W145</f>
        <v>19301756</v>
      </c>
      <c r="W9" s="369">
        <f>הוצאות!X145</f>
        <v>15112715.666666668</v>
      </c>
      <c r="X9" s="369">
        <f>הוצאות!Y145</f>
        <v>18628400</v>
      </c>
      <c r="Y9" s="369">
        <f>הוצאות!Z145</f>
        <v>19239400</v>
      </c>
      <c r="Z9" s="369">
        <f>הוצאות!AA145</f>
        <v>20222500</v>
      </c>
      <c r="AA9" s="369">
        <f>הוצאות!AB145</f>
        <v>20669200</v>
      </c>
    </row>
    <row r="10" spans="2:27" ht="23.1" customHeight="1" x14ac:dyDescent="0.25">
      <c r="B10" s="366"/>
      <c r="C10" s="367"/>
      <c r="D10" s="368"/>
      <c r="E10" s="368"/>
      <c r="F10" s="368"/>
      <c r="G10" s="364"/>
      <c r="H10" s="364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S10" s="365"/>
      <c r="T10" s="365"/>
      <c r="U10" s="365"/>
      <c r="V10" s="365"/>
      <c r="W10" s="365"/>
      <c r="X10" s="365"/>
      <c r="Y10" s="365"/>
      <c r="Z10" s="365"/>
      <c r="AA10" s="365"/>
    </row>
    <row r="11" spans="2:27" ht="23.1" customHeight="1" x14ac:dyDescent="0.25">
      <c r="B11" s="361"/>
      <c r="C11" s="362"/>
      <c r="D11" s="363"/>
      <c r="E11" s="363"/>
      <c r="F11" s="363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5"/>
      <c r="T11" s="365"/>
      <c r="U11" s="365"/>
      <c r="V11" s="365"/>
      <c r="W11" s="365"/>
      <c r="X11" s="365"/>
      <c r="Y11" s="365"/>
      <c r="Z11" s="365"/>
      <c r="AA11" s="365"/>
    </row>
    <row r="12" spans="2:27" ht="34.5" customHeight="1" x14ac:dyDescent="0.25">
      <c r="B12" s="366">
        <v>8</v>
      </c>
      <c r="C12" s="367" t="s">
        <v>260</v>
      </c>
      <c r="D12" s="368">
        <f>הוצאות!C471</f>
        <v>57625000</v>
      </c>
      <c r="E12" s="368">
        <f>הוצאות!D471</f>
        <v>39433</v>
      </c>
      <c r="F12" s="368">
        <f>הוצאות!E471</f>
        <v>62728732</v>
      </c>
      <c r="G12" s="368">
        <f>הוצאות!F471</f>
        <v>63077323</v>
      </c>
      <c r="H12" s="368">
        <f>הוצאות!G471</f>
        <v>71249456</v>
      </c>
      <c r="I12" s="368">
        <f>הוצאות!H471</f>
        <v>99916671</v>
      </c>
      <c r="J12" s="368">
        <f>הוצאות!I471</f>
        <v>54918757</v>
      </c>
      <c r="K12" s="368">
        <f>הוצאות!J471</f>
        <v>44451</v>
      </c>
      <c r="L12" s="368">
        <f>הוצאות!K471</f>
        <v>72991676</v>
      </c>
      <c r="M12" s="368" t="e">
        <f>הוצאות!N471</f>
        <v>#REF!</v>
      </c>
      <c r="N12" s="368" t="e">
        <f>הוצאות!O471</f>
        <v>#REF!</v>
      </c>
      <c r="O12" s="368" t="e">
        <f>הוצאות!P471</f>
        <v>#REF!</v>
      </c>
      <c r="P12" s="368" t="e">
        <f>הוצאות!Q471</f>
        <v>#REF!</v>
      </c>
      <c r="Q12" s="368" t="e">
        <f>הוצאות!R471</f>
        <v>#REF!</v>
      </c>
      <c r="R12" s="368" t="e">
        <f>הוצאות!S471</f>
        <v>#REF!</v>
      </c>
      <c r="S12" s="369" t="e">
        <f>הוצאות!T471</f>
        <v>#REF!</v>
      </c>
      <c r="T12" s="369" t="e">
        <f>הוצאות!U471</f>
        <v>#REF!</v>
      </c>
      <c r="U12" s="369" t="e">
        <f>הוצאות!V471</f>
        <v>#REF!</v>
      </c>
      <c r="V12" s="369" t="e">
        <f>הוצאות!W471</f>
        <v>#REF!</v>
      </c>
      <c r="W12" s="369" t="e">
        <f>הוצאות!X471</f>
        <v>#REF!</v>
      </c>
      <c r="X12" s="369" t="e">
        <f>הוצאות!Y471</f>
        <v>#REF!</v>
      </c>
      <c r="Y12" s="369">
        <f>הוצאות!Z471</f>
        <v>108619100.40000001</v>
      </c>
      <c r="Z12" s="369">
        <f>הוצאות!AA471</f>
        <v>113121500</v>
      </c>
      <c r="AA12" s="369">
        <f>הוצאות!AB471</f>
        <v>121445000</v>
      </c>
    </row>
    <row r="13" spans="2:27" ht="23.1" customHeight="1" x14ac:dyDescent="0.25">
      <c r="B13" s="366"/>
      <c r="C13" s="367"/>
      <c r="D13" s="368"/>
      <c r="E13" s="368"/>
      <c r="F13" s="368"/>
      <c r="G13" s="364"/>
      <c r="H13" s="364"/>
      <c r="I13" s="364"/>
      <c r="J13" s="364"/>
      <c r="K13" s="364"/>
      <c r="L13" s="364"/>
      <c r="M13" s="364"/>
      <c r="N13" s="364"/>
      <c r="O13" s="364"/>
      <c r="P13" s="364"/>
      <c r="Q13" s="364"/>
      <c r="R13" s="364"/>
      <c r="S13" s="365"/>
      <c r="T13" s="365"/>
      <c r="U13" s="365"/>
      <c r="V13" s="365"/>
      <c r="W13" s="365"/>
      <c r="X13" s="365"/>
      <c r="Y13" s="365"/>
      <c r="Z13" s="365"/>
      <c r="AA13" s="365"/>
    </row>
    <row r="14" spans="2:27" ht="23.1" customHeight="1" x14ac:dyDescent="0.25">
      <c r="B14" s="361"/>
      <c r="C14" s="362"/>
      <c r="D14" s="363"/>
      <c r="E14" s="363"/>
      <c r="F14" s="363"/>
      <c r="G14" s="364"/>
      <c r="H14" s="364"/>
      <c r="I14" s="364"/>
      <c r="J14" s="364"/>
      <c r="K14" s="364"/>
      <c r="L14" s="364"/>
      <c r="M14" s="364"/>
      <c r="N14" s="364"/>
      <c r="O14" s="364"/>
      <c r="P14" s="364"/>
      <c r="Q14" s="364"/>
      <c r="R14" s="364"/>
      <c r="S14" s="365"/>
      <c r="T14" s="365"/>
      <c r="U14" s="365"/>
      <c r="V14" s="365"/>
      <c r="W14" s="365"/>
      <c r="X14" s="365"/>
      <c r="Y14" s="365"/>
      <c r="Z14" s="365"/>
      <c r="AA14" s="365"/>
    </row>
    <row r="15" spans="2:27" ht="35.25" customHeight="1" x14ac:dyDescent="0.25">
      <c r="B15" s="366">
        <v>9</v>
      </c>
      <c r="C15" s="367" t="s">
        <v>261</v>
      </c>
      <c r="D15" s="368" t="e">
        <f>הוצאות!C479-D18</f>
        <v>#REF!</v>
      </c>
      <c r="E15" s="368" t="e">
        <f>הוצאות!D479-E18</f>
        <v>#REF!</v>
      </c>
      <c r="F15" s="368" t="e">
        <f>הוצאות!E479-F18</f>
        <v>#REF!</v>
      </c>
      <c r="G15" s="368" t="e">
        <f>הוצאות!F479-הוצאות!F476</f>
        <v>#REF!</v>
      </c>
      <c r="H15" s="368" t="e">
        <f>הוצאות!G479-הוצאות!G476</f>
        <v>#REF!</v>
      </c>
      <c r="I15" s="368" t="e">
        <f>הוצאות!H479-הוצאות!H476</f>
        <v>#REF!</v>
      </c>
      <c r="J15" s="368" t="e">
        <f>הוצאות!I479-הוצאות!I476</f>
        <v>#REF!</v>
      </c>
      <c r="K15" s="368" t="e">
        <f>הוצאות!J479-הוצאות!J476</f>
        <v>#REF!</v>
      </c>
      <c r="L15" s="368" t="e">
        <f>הוצאות!K479-הוצאות!K476</f>
        <v>#REF!</v>
      </c>
      <c r="M15" s="368" t="e">
        <f>הוצאות!N479-הוצאות!N476</f>
        <v>#REF!</v>
      </c>
      <c r="N15" s="368" t="e">
        <f>הוצאות!O479-הוצאות!O476</f>
        <v>#REF!</v>
      </c>
      <c r="O15" s="368" t="e">
        <f>הוצאות!P479-הוצאות!P476</f>
        <v>#REF!</v>
      </c>
      <c r="P15" s="368" t="e">
        <f>הוצאות!Q479-הוצאות!Q476</f>
        <v>#REF!</v>
      </c>
      <c r="Q15" s="368" t="e">
        <f>הוצאות!R479-הוצאות!R476</f>
        <v>#REF!</v>
      </c>
      <c r="R15" s="368" t="e">
        <f>הוצאות!S479-הוצאות!S476</f>
        <v>#REF!</v>
      </c>
      <c r="S15" s="369" t="e">
        <f>הוצאות!T479-הוצאות!T476</f>
        <v>#REF!</v>
      </c>
      <c r="T15" s="369" t="e">
        <f>הוצאות!U479-הוצאות!U476</f>
        <v>#REF!</v>
      </c>
      <c r="U15" s="369" t="e">
        <f>הוצאות!V479-הוצאות!V476</f>
        <v>#REF!</v>
      </c>
      <c r="V15" s="369" t="e">
        <f>הוצאות!W479-הוצאות!W476</f>
        <v>#REF!</v>
      </c>
      <c r="W15" s="369" t="e">
        <f>הוצאות!X479-הוצאות!X476</f>
        <v>#REF!</v>
      </c>
      <c r="X15" s="369" t="e">
        <f>הוצאות!Y479-הוצאות!Y476</f>
        <v>#REF!</v>
      </c>
      <c r="Y15" s="369">
        <f>הוצאות!Z479-הוצאות!Z476</f>
        <v>6680000</v>
      </c>
      <c r="Z15" s="369">
        <f>הוצאות!AA479-הוצאות!AA476</f>
        <v>7011000</v>
      </c>
      <c r="AA15" s="369">
        <f>הוצאות!AB479-הוצאות!AB476</f>
        <v>7003000</v>
      </c>
    </row>
    <row r="16" spans="2:27" ht="23.1" customHeight="1" x14ac:dyDescent="0.25">
      <c r="B16" s="366"/>
      <c r="C16" s="367"/>
      <c r="D16" s="368"/>
      <c r="E16" s="368"/>
      <c r="F16" s="368"/>
      <c r="G16" s="364"/>
      <c r="H16" s="364"/>
      <c r="I16" s="364"/>
      <c r="J16" s="364"/>
      <c r="K16" s="364"/>
      <c r="L16" s="364"/>
      <c r="M16" s="364"/>
      <c r="N16" s="364"/>
      <c r="O16" s="364"/>
      <c r="P16" s="364"/>
      <c r="Q16" s="364"/>
      <c r="R16" s="364"/>
      <c r="S16" s="365"/>
      <c r="T16" s="365"/>
      <c r="U16" s="365"/>
      <c r="V16" s="365"/>
      <c r="W16" s="365"/>
      <c r="X16" s="365"/>
      <c r="Y16" s="365"/>
      <c r="Z16" s="365"/>
      <c r="AA16" s="365"/>
    </row>
    <row r="17" spans="2:27" ht="23.1" customHeight="1" x14ac:dyDescent="0.25">
      <c r="B17" s="361"/>
      <c r="C17" s="362"/>
      <c r="D17" s="363"/>
      <c r="E17" s="363"/>
      <c r="F17" s="363"/>
      <c r="G17" s="364"/>
      <c r="H17" s="364"/>
      <c r="I17" s="364"/>
      <c r="J17" s="364"/>
      <c r="K17" s="364"/>
      <c r="L17" s="364"/>
      <c r="M17" s="364"/>
      <c r="N17" s="364"/>
      <c r="O17" s="364"/>
      <c r="P17" s="364"/>
      <c r="Q17" s="364"/>
      <c r="R17" s="364"/>
      <c r="S17" s="365"/>
      <c r="T17" s="365"/>
      <c r="U17" s="365"/>
      <c r="V17" s="365"/>
      <c r="W17" s="365"/>
      <c r="X17" s="365"/>
      <c r="Y17" s="365"/>
      <c r="Z17" s="365"/>
      <c r="AA17" s="365"/>
    </row>
    <row r="18" spans="2:27" ht="33" customHeight="1" x14ac:dyDescent="0.25">
      <c r="B18" s="366">
        <v>99</v>
      </c>
      <c r="C18" s="367" t="s">
        <v>262</v>
      </c>
      <c r="D18" s="368">
        <f>הוצאות!C476+הוצאות!C481+הוצאות!C483</f>
        <v>10000000</v>
      </c>
      <c r="E18" s="368">
        <f>הוצאות!D476+הוצאות!D481+הוצאות!D483</f>
        <v>6873000</v>
      </c>
      <c r="F18" s="368">
        <f>הוצאות!E476+הוצאות!E481+הוצאות!E483</f>
        <v>7864000</v>
      </c>
      <c r="G18" s="368">
        <f>הוצאות!F476+הוצאות!F481+הוצאות!F483</f>
        <v>11240300</v>
      </c>
      <c r="H18" s="368" t="e">
        <f>הוצאות!G476+הוצאות!G481+הוצאות!G483</f>
        <v>#REF!</v>
      </c>
      <c r="I18" s="368" t="e">
        <f>הוצאות!H476+הוצאות!H481+הוצאות!H483</f>
        <v>#REF!</v>
      </c>
      <c r="J18" s="368">
        <f>הוצאות!I476+הוצאות!I481+הוצאות!I483</f>
        <v>7441247</v>
      </c>
      <c r="K18" s="368">
        <f>הוצאות!J476+הוצאות!J481+הוצאות!J483</f>
        <v>0</v>
      </c>
      <c r="L18" s="368">
        <f>הוצאות!K476+הוצאות!K481+הוצאות!K483</f>
        <v>9600000</v>
      </c>
      <c r="M18" s="368">
        <f>הוצאות!N476+הוצאות!N481+הוצאות!N483</f>
        <v>10398300</v>
      </c>
      <c r="N18" s="368">
        <f>הוצאות!O476+הוצאות!O481+הוצאות!O483</f>
        <v>12497500</v>
      </c>
      <c r="O18" s="368">
        <f>הוצאות!P476+הוצאות!P481+הוצאות!P483</f>
        <v>10662000</v>
      </c>
      <c r="P18" s="368" t="e">
        <f>הוצאות!Q476+הוצאות!Q481+הוצאות!Q483+הוצאות!#REF!</f>
        <v>#REF!</v>
      </c>
      <c r="Q18" s="368" t="e">
        <f>הוצאות!R476+הוצאות!R481+הוצאות!R483+הוצאות!#REF!</f>
        <v>#REF!</v>
      </c>
      <c r="R18" s="368" t="e">
        <f>הוצאות!S476+הוצאות!S481+הוצאות!S483+הוצאות!#REF!</f>
        <v>#REF!</v>
      </c>
      <c r="S18" s="369" t="e">
        <f>הוצאות!T476+הוצאות!T481+הוצאות!T483</f>
        <v>#REF!</v>
      </c>
      <c r="T18" s="369" t="e">
        <f>הוצאות!U476+הוצאות!U481+הוצאות!U483+הוצאות!#REF!</f>
        <v>#REF!</v>
      </c>
      <c r="U18" s="369" t="e">
        <f>הוצאות!V476+הוצאות!V481+הוצאות!V483</f>
        <v>#REF!</v>
      </c>
      <c r="V18" s="369">
        <f>הוצאות!W476+הוצאות!W481+הוצאות!W483</f>
        <v>9500000</v>
      </c>
      <c r="W18" s="369">
        <f>הוצאות!X476+הוצאות!X481+הוצאות!X483</f>
        <v>7981323</v>
      </c>
      <c r="X18" s="369">
        <f>הוצאות!Y476+הוצאות!Y481+הוצאות!Y483</f>
        <v>9600000</v>
      </c>
      <c r="Y18" s="369">
        <f>הוצאות!Z476+הוצאות!Z481+הוצאות!Z483</f>
        <v>9600000</v>
      </c>
      <c r="Z18" s="369">
        <f>הוצאות!AA476+הוצאות!AA481+הוצאות!AA483</f>
        <v>10000000</v>
      </c>
      <c r="AA18" s="369">
        <f>הוצאות!AB476+הוצאות!AB481+הוצאות!AB483</f>
        <v>14206000</v>
      </c>
    </row>
    <row r="19" spans="2:27" ht="23.1" customHeight="1" x14ac:dyDescent="0.25">
      <c r="B19" s="361"/>
      <c r="C19" s="362"/>
      <c r="D19" s="363"/>
      <c r="E19" s="363"/>
      <c r="F19" s="363"/>
      <c r="G19" s="364"/>
      <c r="H19" s="364"/>
      <c r="I19" s="364"/>
      <c r="J19" s="364"/>
      <c r="K19" s="364"/>
      <c r="L19" s="364"/>
      <c r="M19" s="364"/>
      <c r="N19" s="364"/>
      <c r="O19" s="364"/>
      <c r="P19" s="364"/>
      <c r="Q19" s="364"/>
      <c r="R19" s="364"/>
      <c r="S19" s="365"/>
      <c r="T19" s="364"/>
      <c r="U19" s="364"/>
      <c r="V19" s="365"/>
      <c r="W19" s="365"/>
      <c r="X19" s="365"/>
      <c r="Y19" s="365"/>
      <c r="Z19" s="365"/>
      <c r="AA19" s="365"/>
    </row>
    <row r="20" spans="2:27" ht="23.1" customHeight="1" x14ac:dyDescent="0.25">
      <c r="B20" s="361"/>
      <c r="C20" s="362"/>
      <c r="D20" s="363"/>
      <c r="E20" s="363"/>
      <c r="F20" s="363"/>
      <c r="G20" s="364"/>
      <c r="H20" s="364"/>
      <c r="I20" s="364"/>
      <c r="J20" s="364"/>
      <c r="K20" s="364"/>
      <c r="L20" s="364"/>
      <c r="M20" s="364"/>
      <c r="N20" s="364"/>
      <c r="O20" s="364"/>
      <c r="P20" s="364"/>
      <c r="Q20" s="364"/>
      <c r="R20" s="364"/>
      <c r="S20" s="365"/>
      <c r="T20" s="364"/>
      <c r="U20" s="364"/>
      <c r="V20" s="365"/>
      <c r="W20" s="365"/>
      <c r="X20" s="365"/>
      <c r="Y20" s="365"/>
      <c r="Z20" s="365"/>
      <c r="AA20" s="365"/>
    </row>
    <row r="21" spans="2:27" ht="42.75" customHeight="1" thickBot="1" x14ac:dyDescent="0.3">
      <c r="B21" s="370"/>
      <c r="C21" s="371" t="s">
        <v>12</v>
      </c>
      <c r="D21" s="372" t="e">
        <f t="shared" ref="D21:P21" si="0">SUM(D5:D18)</f>
        <v>#REF!</v>
      </c>
      <c r="E21" s="372" t="e">
        <f t="shared" si="0"/>
        <v>#REF!</v>
      </c>
      <c r="F21" s="372" t="e">
        <f t="shared" si="0"/>
        <v>#REF!</v>
      </c>
      <c r="G21" s="372" t="e">
        <f t="shared" si="0"/>
        <v>#REF!</v>
      </c>
      <c r="H21" s="372" t="e">
        <f t="shared" si="0"/>
        <v>#REF!</v>
      </c>
      <c r="I21" s="372" t="e">
        <f t="shared" si="0"/>
        <v>#REF!</v>
      </c>
      <c r="J21" s="372" t="e">
        <f t="shared" si="0"/>
        <v>#REF!</v>
      </c>
      <c r="K21" s="372" t="e">
        <f t="shared" si="0"/>
        <v>#REF!</v>
      </c>
      <c r="L21" s="372" t="e">
        <f t="shared" si="0"/>
        <v>#REF!</v>
      </c>
      <c r="M21" s="372" t="e">
        <f>SUM(M5:M18)</f>
        <v>#REF!</v>
      </c>
      <c r="N21" s="372" t="e">
        <f t="shared" si="0"/>
        <v>#REF!</v>
      </c>
      <c r="O21" s="372" t="e">
        <f t="shared" si="0"/>
        <v>#REF!</v>
      </c>
      <c r="P21" s="372" t="e">
        <f t="shared" si="0"/>
        <v>#REF!</v>
      </c>
      <c r="Q21" s="372" t="e">
        <f t="shared" ref="Q21:V21" si="1">SUM(Q5:Q18)</f>
        <v>#REF!</v>
      </c>
      <c r="R21" s="372" t="e">
        <f t="shared" si="1"/>
        <v>#REF!</v>
      </c>
      <c r="S21" s="373" t="e">
        <f t="shared" si="1"/>
        <v>#REF!</v>
      </c>
      <c r="T21" s="373" t="e">
        <f t="shared" si="1"/>
        <v>#REF!</v>
      </c>
      <c r="U21" s="373" t="e">
        <f t="shared" si="1"/>
        <v>#REF!</v>
      </c>
      <c r="V21" s="373" t="e">
        <f t="shared" si="1"/>
        <v>#REF!</v>
      </c>
      <c r="W21" s="373" t="e">
        <f>SUM(W5:W18)</f>
        <v>#REF!</v>
      </c>
      <c r="X21" s="373" t="e">
        <f>SUM(X5:X18)</f>
        <v>#REF!</v>
      </c>
      <c r="Y21" s="373">
        <f>SUM(Y5:Y18)</f>
        <v>161935100.40000001</v>
      </c>
      <c r="Z21" s="373">
        <f>SUM(Z5:Z18)</f>
        <v>168212400</v>
      </c>
      <c r="AA21" s="373">
        <f>SUM(AA5:AA18)</f>
        <v>181058000</v>
      </c>
    </row>
    <row r="22" spans="2:27" ht="23.1" customHeight="1" x14ac:dyDescent="0.25">
      <c r="B22" s="374"/>
      <c r="C22" s="374"/>
      <c r="D22" s="374"/>
      <c r="E22" s="374"/>
      <c r="F22" s="374"/>
    </row>
    <row r="23" spans="2:27" ht="23.1" customHeight="1" x14ac:dyDescent="0.25">
      <c r="B23" s="374"/>
      <c r="C23" s="374"/>
      <c r="D23" s="374"/>
      <c r="E23" s="374"/>
      <c r="F23" s="374"/>
    </row>
    <row r="24" spans="2:27" ht="23.1" customHeight="1" x14ac:dyDescent="0.25">
      <c r="B24" s="374"/>
      <c r="C24" s="374"/>
      <c r="D24" s="374"/>
      <c r="E24" s="374"/>
      <c r="F24" s="374"/>
    </row>
    <row r="25" spans="2:27" ht="23.1" customHeight="1" x14ac:dyDescent="0.25">
      <c r="B25" s="374"/>
      <c r="C25" s="374"/>
      <c r="D25" s="374"/>
      <c r="E25" s="374"/>
      <c r="F25" s="374"/>
    </row>
    <row r="26" spans="2:27" ht="23.1" customHeight="1" x14ac:dyDescent="0.25">
      <c r="B26" s="374"/>
      <c r="C26" s="374"/>
      <c r="D26" s="374"/>
      <c r="E26" s="374"/>
      <c r="F26" s="374"/>
    </row>
    <row r="27" spans="2:27" ht="23.1" customHeight="1" x14ac:dyDescent="0.25">
      <c r="B27" s="374"/>
      <c r="C27" s="374"/>
      <c r="D27" s="374"/>
      <c r="E27" s="374"/>
      <c r="F27" s="374"/>
    </row>
    <row r="28" spans="2:27" ht="23.1" customHeight="1" x14ac:dyDescent="0.25">
      <c r="B28" s="374"/>
      <c r="C28" s="374"/>
      <c r="D28" s="374"/>
      <c r="E28" s="374"/>
      <c r="F28" s="374"/>
    </row>
    <row r="29" spans="2:27" ht="23.1" customHeight="1" x14ac:dyDescent="0.25">
      <c r="B29" s="374"/>
      <c r="C29" s="374"/>
      <c r="D29" s="374"/>
      <c r="E29" s="374"/>
      <c r="F29" s="374"/>
    </row>
    <row r="30" spans="2:27" ht="23.1" customHeight="1" x14ac:dyDescent="0.25">
      <c r="B30" s="374"/>
      <c r="C30" s="374"/>
      <c r="D30" s="374"/>
      <c r="E30" s="374"/>
      <c r="F30" s="374"/>
    </row>
    <row r="31" spans="2:27" ht="23.1" customHeight="1" x14ac:dyDescent="0.25">
      <c r="B31" s="374"/>
      <c r="C31" s="374"/>
      <c r="D31" s="374"/>
      <c r="E31" s="374"/>
      <c r="F31" s="374"/>
    </row>
    <row r="32" spans="2:27" ht="23.1" customHeight="1" x14ac:dyDescent="0.25">
      <c r="B32" s="374"/>
      <c r="C32" s="374"/>
      <c r="D32" s="374"/>
      <c r="E32" s="374"/>
      <c r="F32" s="374"/>
    </row>
    <row r="33" spans="2:6" ht="23.1" customHeight="1" x14ac:dyDescent="0.25">
      <c r="B33" s="374"/>
      <c r="C33" s="374"/>
      <c r="D33" s="374"/>
      <c r="E33" s="374"/>
      <c r="F33" s="374"/>
    </row>
    <row r="34" spans="2:6" ht="23.1" customHeight="1" x14ac:dyDescent="0.25">
      <c r="B34" s="374"/>
      <c r="C34" s="374"/>
      <c r="D34" s="374"/>
      <c r="E34" s="374"/>
      <c r="F34" s="374"/>
    </row>
    <row r="35" spans="2:6" ht="23.1" customHeight="1" x14ac:dyDescent="0.25">
      <c r="B35" s="374"/>
      <c r="C35" s="374"/>
      <c r="D35" s="374"/>
      <c r="E35" s="374"/>
      <c r="F35" s="374"/>
    </row>
    <row r="36" spans="2:6" ht="23.1" customHeight="1" x14ac:dyDescent="0.25">
      <c r="B36" s="374"/>
      <c r="C36" s="374"/>
      <c r="D36" s="374"/>
      <c r="E36" s="374"/>
      <c r="F36" s="374"/>
    </row>
    <row r="37" spans="2:6" ht="23.1" customHeight="1" x14ac:dyDescent="0.25">
      <c r="B37" s="374"/>
      <c r="C37" s="374"/>
      <c r="D37" s="374"/>
      <c r="E37" s="374"/>
      <c r="F37" s="374"/>
    </row>
    <row r="38" spans="2:6" ht="23.1" customHeight="1" x14ac:dyDescent="0.25">
      <c r="B38" s="374"/>
      <c r="C38" s="374"/>
      <c r="D38" s="374"/>
      <c r="E38" s="374"/>
      <c r="F38" s="374"/>
    </row>
    <row r="39" spans="2:6" ht="23.1" customHeight="1" x14ac:dyDescent="0.25">
      <c r="B39" s="374"/>
      <c r="C39" s="374"/>
      <c r="D39" s="374"/>
      <c r="E39" s="374"/>
      <c r="F39" s="374"/>
    </row>
    <row r="40" spans="2:6" ht="23.1" customHeight="1" x14ac:dyDescent="0.25">
      <c r="B40" s="374"/>
      <c r="C40" s="374"/>
      <c r="D40" s="374"/>
      <c r="E40" s="374"/>
      <c r="F40" s="374"/>
    </row>
    <row r="41" spans="2:6" ht="23.1" customHeight="1" x14ac:dyDescent="0.25">
      <c r="B41" s="374"/>
      <c r="C41" s="374"/>
      <c r="D41" s="374"/>
      <c r="E41" s="374"/>
      <c r="F41" s="374"/>
    </row>
    <row r="42" spans="2:6" ht="23.1" customHeight="1" x14ac:dyDescent="0.25">
      <c r="B42" s="374"/>
      <c r="C42" s="374"/>
      <c r="D42" s="374"/>
      <c r="E42" s="374"/>
      <c r="F42" s="374"/>
    </row>
    <row r="43" spans="2:6" ht="23.1" customHeight="1" x14ac:dyDescent="0.25">
      <c r="B43" s="374"/>
      <c r="C43" s="374"/>
      <c r="D43" s="374"/>
      <c r="E43" s="374"/>
      <c r="F43" s="374"/>
    </row>
    <row r="44" spans="2:6" ht="23.1" customHeight="1" x14ac:dyDescent="0.25">
      <c r="B44" s="374"/>
      <c r="C44" s="374"/>
      <c r="D44" s="374"/>
      <c r="E44" s="374"/>
      <c r="F44" s="374"/>
    </row>
    <row r="45" spans="2:6" ht="23.1" customHeight="1" x14ac:dyDescent="0.25">
      <c r="B45" s="374"/>
      <c r="C45" s="374"/>
      <c r="D45" s="374"/>
      <c r="E45" s="374"/>
      <c r="F45" s="374"/>
    </row>
    <row r="46" spans="2:6" ht="23.1" customHeight="1" x14ac:dyDescent="0.25">
      <c r="B46" s="374"/>
      <c r="C46" s="374"/>
      <c r="D46" s="374"/>
      <c r="E46" s="374"/>
      <c r="F46" s="374"/>
    </row>
    <row r="47" spans="2:6" ht="23.1" customHeight="1" x14ac:dyDescent="0.25">
      <c r="B47" s="374"/>
      <c r="C47" s="374"/>
      <c r="D47" s="374"/>
      <c r="E47" s="374"/>
      <c r="F47" s="374"/>
    </row>
    <row r="48" spans="2:6" ht="23.1" customHeight="1" x14ac:dyDescent="0.25">
      <c r="B48" s="374"/>
      <c r="C48" s="374"/>
      <c r="D48" s="374"/>
      <c r="E48" s="374"/>
      <c r="F48" s="374"/>
    </row>
    <row r="49" spans="2:6" ht="23.1" customHeight="1" x14ac:dyDescent="0.25">
      <c r="B49" s="374"/>
      <c r="C49" s="374"/>
      <c r="D49" s="374"/>
      <c r="E49" s="374"/>
      <c r="F49" s="374"/>
    </row>
    <row r="50" spans="2:6" ht="23.1" customHeight="1" x14ac:dyDescent="0.25">
      <c r="B50" s="374"/>
      <c r="C50" s="374"/>
      <c r="D50" s="374"/>
      <c r="E50" s="374"/>
      <c r="F50" s="374"/>
    </row>
    <row r="51" spans="2:6" ht="23.1" customHeight="1" x14ac:dyDescent="0.25">
      <c r="B51" s="374"/>
      <c r="C51" s="374"/>
      <c r="D51" s="374"/>
      <c r="E51" s="374"/>
      <c r="F51" s="374"/>
    </row>
    <row r="52" spans="2:6" ht="23.1" customHeight="1" x14ac:dyDescent="0.25">
      <c r="B52" s="374"/>
      <c r="C52" s="374"/>
      <c r="D52" s="374"/>
      <c r="E52" s="374"/>
      <c r="F52" s="374"/>
    </row>
    <row r="53" spans="2:6" ht="23.1" customHeight="1" x14ac:dyDescent="0.25">
      <c r="B53" s="374"/>
      <c r="C53" s="374"/>
      <c r="D53" s="374"/>
      <c r="E53" s="374"/>
      <c r="F53" s="374"/>
    </row>
  </sheetData>
  <mergeCells count="2">
    <mergeCell ref="B1:F1"/>
    <mergeCell ref="B2:F2"/>
  </mergeCells>
  <phoneticPr fontId="3" type="noConversion"/>
  <pageMargins left="0.35433070866141736" right="0.35433070866141736" top="0.98425196850393704" bottom="0.98425196850393704" header="0.51181102362204722" footer="0.51181102362204722"/>
  <pageSetup paperSize="9" scale="92" orientation="portrait" r:id="rId1"/>
  <headerFooter alignWithMargins="0">
    <oddFooter>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1143"/>
  <sheetViews>
    <sheetView rightToLeft="1" tabSelected="1" view="pageBreakPreview" zoomScale="115" zoomScaleNormal="85" zoomScaleSheetLayoutView="115" workbookViewId="0">
      <pane ySplit="3" topLeftCell="A474" activePane="bottomLeft" state="frozen"/>
      <selection activeCell="C24" sqref="C24"/>
      <selection pane="bottomLeft" activeCell="AB483" sqref="AB483"/>
    </sheetView>
  </sheetViews>
  <sheetFormatPr defaultRowHeight="23.1" customHeight="1" x14ac:dyDescent="0.25"/>
  <cols>
    <col min="1" max="1" width="14.5703125" bestFit="1" customWidth="1"/>
    <col min="2" max="2" width="31" style="289" customWidth="1"/>
    <col min="3" max="3" width="12.85546875" hidden="1" customWidth="1"/>
    <col min="4" max="4" width="5.85546875" hidden="1" customWidth="1"/>
    <col min="5" max="5" width="13" hidden="1" customWidth="1"/>
    <col min="6" max="6" width="9.140625" hidden="1" customWidth="1"/>
    <col min="7" max="7" width="11.5703125" hidden="1" customWidth="1"/>
    <col min="8" max="8" width="13.85546875" hidden="1" customWidth="1"/>
    <col min="9" max="9" width="15.85546875" hidden="1" customWidth="1"/>
    <col min="10" max="10" width="14.85546875" style="50" hidden="1" customWidth="1"/>
    <col min="11" max="11" width="16.140625" style="50" hidden="1" customWidth="1"/>
    <col min="12" max="12" width="11.85546875" style="50" hidden="1" customWidth="1"/>
    <col min="13" max="13" width="13" style="50" hidden="1" customWidth="1"/>
    <col min="14" max="14" width="13.28515625" hidden="1" customWidth="1"/>
    <col min="15" max="16" width="12.140625" hidden="1" customWidth="1"/>
    <col min="17" max="17" width="17.42578125" hidden="1" customWidth="1"/>
    <col min="18" max="18" width="18.85546875" hidden="1" customWidth="1"/>
    <col min="19" max="19" width="17.42578125" hidden="1" customWidth="1"/>
    <col min="20" max="20" width="15.140625" hidden="1" customWidth="1"/>
    <col min="21" max="21" width="15.28515625" hidden="1" customWidth="1"/>
    <col min="22" max="22" width="14.5703125" hidden="1" customWidth="1"/>
    <col min="23" max="25" width="16.5703125" hidden="1" customWidth="1"/>
    <col min="26" max="26" width="15.28515625" customWidth="1"/>
    <col min="27" max="27" width="16.5703125" style="67" customWidth="1"/>
    <col min="28" max="28" width="14.42578125" style="67" customWidth="1"/>
    <col min="30" max="30" width="0" style="90" hidden="1" customWidth="1"/>
    <col min="31" max="35" width="0" hidden="1" customWidth="1"/>
  </cols>
  <sheetData>
    <row r="1" spans="1:256" ht="23.1" customHeight="1" x14ac:dyDescent="0.25">
      <c r="A1" s="383" t="s">
        <v>695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4"/>
      <c r="X1" s="384"/>
      <c r="Y1" s="384"/>
      <c r="Z1" s="384"/>
      <c r="AA1" s="384"/>
      <c r="AB1" s="384"/>
      <c r="AC1" s="384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2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</row>
    <row r="2" spans="1:256" ht="23.1" customHeight="1" x14ac:dyDescent="0.25">
      <c r="A2" s="385" t="s">
        <v>263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87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</row>
    <row r="3" spans="1:256" ht="44.45" customHeight="1" x14ac:dyDescent="0.3">
      <c r="A3" s="269" t="s">
        <v>0</v>
      </c>
      <c r="B3" s="276" t="s">
        <v>1</v>
      </c>
      <c r="C3" s="270" t="s">
        <v>393</v>
      </c>
      <c r="D3" s="270" t="s">
        <v>387</v>
      </c>
      <c r="E3" s="271" t="s">
        <v>415</v>
      </c>
      <c r="F3" s="272" t="s">
        <v>398</v>
      </c>
      <c r="G3" s="271" t="s">
        <v>452</v>
      </c>
      <c r="H3" s="271" t="s">
        <v>427</v>
      </c>
      <c r="I3" s="271" t="s">
        <v>457</v>
      </c>
      <c r="J3" s="273" t="s">
        <v>428</v>
      </c>
      <c r="K3" s="273" t="s">
        <v>456</v>
      </c>
      <c r="L3" s="273" t="s">
        <v>467</v>
      </c>
      <c r="M3" s="273" t="s">
        <v>468</v>
      </c>
      <c r="N3" s="274" t="s">
        <v>474</v>
      </c>
      <c r="O3" s="274" t="s">
        <v>580</v>
      </c>
      <c r="P3" s="274" t="s">
        <v>590</v>
      </c>
      <c r="Q3" s="274" t="s">
        <v>476</v>
      </c>
      <c r="R3" s="274" t="s">
        <v>601</v>
      </c>
      <c r="S3" s="274" t="s">
        <v>599</v>
      </c>
      <c r="T3" s="274" t="s">
        <v>604</v>
      </c>
      <c r="U3" s="274" t="s">
        <v>605</v>
      </c>
      <c r="V3" s="274" t="s">
        <v>599</v>
      </c>
      <c r="W3" s="274" t="s">
        <v>606</v>
      </c>
      <c r="X3" s="274" t="s">
        <v>629</v>
      </c>
      <c r="Y3" s="274" t="s">
        <v>655</v>
      </c>
      <c r="Z3" s="101" t="s">
        <v>654</v>
      </c>
      <c r="AA3" s="101" t="s">
        <v>692</v>
      </c>
      <c r="AB3" s="101" t="s">
        <v>691</v>
      </c>
      <c r="AC3" s="271" t="s">
        <v>255</v>
      </c>
      <c r="AD3" s="87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</row>
    <row r="4" spans="1:256" ht="30" customHeight="1" x14ac:dyDescent="0.25">
      <c r="A4" s="186">
        <v>611100.11</v>
      </c>
      <c r="B4" s="277" t="s">
        <v>42</v>
      </c>
      <c r="C4" s="187">
        <v>1780000</v>
      </c>
      <c r="D4" s="187"/>
      <c r="E4" s="187">
        <v>983955</v>
      </c>
      <c r="F4" s="187">
        <f>650000+100000</f>
        <v>750000</v>
      </c>
      <c r="G4" s="188">
        <v>750000</v>
      </c>
      <c r="H4" s="188">
        <v>770325</v>
      </c>
      <c r="I4" s="188">
        <v>522726</v>
      </c>
      <c r="J4" s="189"/>
      <c r="K4" s="189">
        <f>I4*4/3</f>
        <v>696968</v>
      </c>
      <c r="L4" s="189">
        <v>228916</v>
      </c>
      <c r="M4" s="189">
        <v>531084</v>
      </c>
      <c r="N4" s="190">
        <v>700000</v>
      </c>
      <c r="O4" s="190">
        <v>730000</v>
      </c>
      <c r="P4" s="190">
        <f>M4+L4</f>
        <v>760000</v>
      </c>
      <c r="Q4" s="190">
        <f>O4*1.045</f>
        <v>762850</v>
      </c>
      <c r="R4" s="190">
        <f>372885.38*0.99</f>
        <v>369156.52620000002</v>
      </c>
      <c r="S4" s="190">
        <f t="shared" ref="S4:S8" si="0">R4*2</f>
        <v>738313.05240000004</v>
      </c>
      <c r="T4" s="190">
        <f>S4</f>
        <v>738313.05240000004</v>
      </c>
      <c r="U4" s="190">
        <v>616536</v>
      </c>
      <c r="V4" s="190">
        <f>U4*12/10</f>
        <v>739843.2</v>
      </c>
      <c r="W4" s="190">
        <v>2075000</v>
      </c>
      <c r="X4" s="190">
        <v>1502714</v>
      </c>
      <c r="Y4" s="190">
        <v>1881000</v>
      </c>
      <c r="Z4" s="190">
        <f>1910000-15000</f>
        <v>1895000</v>
      </c>
      <c r="AA4" s="191">
        <v>1920000</v>
      </c>
      <c r="AB4" s="191">
        <v>2000000</v>
      </c>
      <c r="AC4" s="192">
        <v>3</v>
      </c>
      <c r="AD4" s="87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</row>
    <row r="5" spans="1:256" ht="30" customHeight="1" x14ac:dyDescent="0.25">
      <c r="A5" s="193">
        <v>611100.14</v>
      </c>
      <c r="B5" s="232" t="s">
        <v>43</v>
      </c>
      <c r="C5" s="194">
        <v>8000</v>
      </c>
      <c r="D5" s="187"/>
      <c r="E5" s="187">
        <v>12240</v>
      </c>
      <c r="F5" s="194">
        <v>8000</v>
      </c>
      <c r="G5" s="188">
        <v>14000</v>
      </c>
      <c r="H5" s="195">
        <v>8160</v>
      </c>
      <c r="I5" s="188">
        <v>0</v>
      </c>
      <c r="J5" s="189"/>
      <c r="K5" s="189">
        <f t="shared" ref="K5:K48" si="1">I5*4/3</f>
        <v>0</v>
      </c>
      <c r="L5" s="189">
        <v>6120</v>
      </c>
      <c r="M5" s="189">
        <f>L5/8*4</f>
        <v>3060</v>
      </c>
      <c r="N5" s="190">
        <v>0</v>
      </c>
      <c r="O5" s="190">
        <v>13300</v>
      </c>
      <c r="P5" s="190">
        <f>M5+L5</f>
        <v>9180</v>
      </c>
      <c r="Q5" s="190">
        <f>O5*1.045</f>
        <v>13898.499999999998</v>
      </c>
      <c r="R5" s="190">
        <v>6948</v>
      </c>
      <c r="S5" s="190">
        <f t="shared" si="0"/>
        <v>13896</v>
      </c>
      <c r="T5" s="190">
        <f>S5</f>
        <v>13896</v>
      </c>
      <c r="U5" s="190">
        <v>13915</v>
      </c>
      <c r="V5" s="190">
        <f t="shared" ref="V5:V49" si="2">U5*12/10</f>
        <v>16698</v>
      </c>
      <c r="W5" s="190">
        <v>15000</v>
      </c>
      <c r="X5" s="190">
        <v>9180</v>
      </c>
      <c r="Y5" s="190">
        <v>11000</v>
      </c>
      <c r="Z5" s="190">
        <v>15000</v>
      </c>
      <c r="AA5" s="191">
        <v>9000</v>
      </c>
      <c r="AB5" s="191">
        <v>9000</v>
      </c>
      <c r="AC5" s="196"/>
      <c r="AD5" s="87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</row>
    <row r="6" spans="1:256" ht="30" customHeight="1" x14ac:dyDescent="0.25">
      <c r="A6" s="193">
        <v>611200.11</v>
      </c>
      <c r="B6" s="232" t="s">
        <v>444</v>
      </c>
      <c r="C6" s="194">
        <v>200000</v>
      </c>
      <c r="D6" s="187"/>
      <c r="E6" s="187">
        <v>146623</v>
      </c>
      <c r="F6" s="194">
        <v>150000</v>
      </c>
      <c r="G6" s="188">
        <v>151690</v>
      </c>
      <c r="H6" s="195">
        <v>110998</v>
      </c>
      <c r="I6" s="188">
        <v>117385</v>
      </c>
      <c r="J6" s="189"/>
      <c r="K6" s="189">
        <f t="shared" si="1"/>
        <v>156513.33333333334</v>
      </c>
      <c r="L6" s="189">
        <v>105437</v>
      </c>
      <c r="M6" s="189">
        <f t="shared" ref="M6:M42" si="3">L6/8*4</f>
        <v>52718.5</v>
      </c>
      <c r="N6" s="190">
        <v>155000</v>
      </c>
      <c r="O6" s="190">
        <v>156000</v>
      </c>
      <c r="P6" s="190">
        <f>M6+L6</f>
        <v>158155.5</v>
      </c>
      <c r="Q6" s="190">
        <f>O6*1.045</f>
        <v>163020</v>
      </c>
      <c r="R6" s="190">
        <f>76410*0.985</f>
        <v>75263.850000000006</v>
      </c>
      <c r="S6" s="190">
        <f t="shared" si="0"/>
        <v>150527.70000000001</v>
      </c>
      <c r="T6" s="190">
        <f>S6</f>
        <v>150527.70000000001</v>
      </c>
      <c r="U6" s="190">
        <v>133084</v>
      </c>
      <c r="V6" s="190">
        <f t="shared" si="2"/>
        <v>159700.79999999999</v>
      </c>
      <c r="W6" s="190">
        <v>150528</v>
      </c>
      <c r="X6" s="190">
        <v>132151</v>
      </c>
      <c r="Y6" s="190">
        <v>159000</v>
      </c>
      <c r="Z6" s="190">
        <v>155000</v>
      </c>
      <c r="AA6" s="191">
        <v>157000</v>
      </c>
      <c r="AB6" s="191">
        <v>177000</v>
      </c>
      <c r="AC6" s="196">
        <v>1</v>
      </c>
      <c r="AD6" s="87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</row>
    <row r="7" spans="1:256" ht="30" customHeight="1" x14ac:dyDescent="0.25">
      <c r="A7" s="197">
        <v>611201.78</v>
      </c>
      <c r="B7" s="232" t="s">
        <v>460</v>
      </c>
      <c r="C7" s="194"/>
      <c r="D7" s="187"/>
      <c r="E7" s="187"/>
      <c r="F7" s="194"/>
      <c r="G7" s="188">
        <v>0</v>
      </c>
      <c r="H7" s="195"/>
      <c r="I7" s="188">
        <v>0</v>
      </c>
      <c r="J7" s="189"/>
      <c r="K7" s="189">
        <v>0</v>
      </c>
      <c r="L7" s="189">
        <v>0</v>
      </c>
      <c r="M7" s="189">
        <f t="shared" si="3"/>
        <v>0</v>
      </c>
      <c r="N7" s="189">
        <v>10000</v>
      </c>
      <c r="O7" s="188">
        <v>10000</v>
      </c>
      <c r="P7" s="188">
        <f>L7+M7</f>
        <v>0</v>
      </c>
      <c r="Q7" s="188">
        <f>O7</f>
        <v>10000</v>
      </c>
      <c r="R7" s="188">
        <v>10000</v>
      </c>
      <c r="S7" s="188">
        <f t="shared" si="0"/>
        <v>20000</v>
      </c>
      <c r="T7" s="188">
        <v>20000</v>
      </c>
      <c r="U7" s="188">
        <v>10000</v>
      </c>
      <c r="V7" s="190">
        <f t="shared" si="2"/>
        <v>12000</v>
      </c>
      <c r="W7" s="188">
        <v>20000</v>
      </c>
      <c r="X7" s="188">
        <v>4248</v>
      </c>
      <c r="Y7" s="188">
        <v>5000</v>
      </c>
      <c r="Z7" s="188">
        <f>Y7</f>
        <v>5000</v>
      </c>
      <c r="AA7" s="198"/>
      <c r="AB7" s="198"/>
      <c r="AC7" s="196"/>
      <c r="AD7" s="87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</row>
    <row r="8" spans="1:256" ht="30" customHeight="1" x14ac:dyDescent="0.25">
      <c r="A8" s="193">
        <v>611201.11</v>
      </c>
      <c r="B8" s="232" t="s">
        <v>450</v>
      </c>
      <c r="C8" s="194"/>
      <c r="D8" s="187"/>
      <c r="E8" s="187"/>
      <c r="F8" s="194"/>
      <c r="G8" s="199">
        <v>100000</v>
      </c>
      <c r="H8" s="195"/>
      <c r="I8" s="188">
        <v>27526</v>
      </c>
      <c r="J8" s="189"/>
      <c r="K8" s="189">
        <f t="shared" si="1"/>
        <v>36701.333333333336</v>
      </c>
      <c r="L8" s="189">
        <v>176829</v>
      </c>
      <c r="M8" s="189">
        <f t="shared" si="3"/>
        <v>88414.5</v>
      </c>
      <c r="N8" s="190">
        <v>200000</v>
      </c>
      <c r="O8" s="190">
        <v>269400</v>
      </c>
      <c r="P8" s="190">
        <f>M8+L8</f>
        <v>265243.5</v>
      </c>
      <c r="Q8" s="190">
        <f>O8*1.045</f>
        <v>281523</v>
      </c>
      <c r="R8" s="190">
        <f>138221.32*0.98</f>
        <v>135456.89360000001</v>
      </c>
      <c r="S8" s="190">
        <f t="shared" si="0"/>
        <v>270913.78720000002</v>
      </c>
      <c r="T8" s="190">
        <f>S8</f>
        <v>270913.78720000002</v>
      </c>
      <c r="U8" s="190">
        <v>167427</v>
      </c>
      <c r="V8" s="190">
        <f t="shared" si="2"/>
        <v>200912.4</v>
      </c>
      <c r="W8" s="190">
        <v>270914</v>
      </c>
      <c r="X8" s="190"/>
      <c r="Y8" s="190"/>
      <c r="Z8" s="190">
        <v>271000</v>
      </c>
      <c r="AA8" s="191">
        <v>19600</v>
      </c>
      <c r="AB8" s="191">
        <v>271000</v>
      </c>
      <c r="AC8" s="196">
        <v>1</v>
      </c>
      <c r="AD8" s="87" t="s">
        <v>699</v>
      </c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</row>
    <row r="9" spans="1:256" ht="30" customHeight="1" x14ac:dyDescent="0.25">
      <c r="A9" s="197">
        <v>611200.42000000004</v>
      </c>
      <c r="B9" s="232" t="s">
        <v>432</v>
      </c>
      <c r="C9" s="194"/>
      <c r="D9" s="187"/>
      <c r="E9" s="187"/>
      <c r="F9" s="194"/>
      <c r="G9" s="189">
        <f>48000-7500</f>
        <v>40500</v>
      </c>
      <c r="H9" s="195">
        <v>35759</v>
      </c>
      <c r="I9" s="188">
        <v>27069</v>
      </c>
      <c r="J9" s="189"/>
      <c r="K9" s="189">
        <f t="shared" si="1"/>
        <v>36092</v>
      </c>
      <c r="L9" s="189">
        <v>36392</v>
      </c>
      <c r="M9" s="189">
        <f t="shared" si="3"/>
        <v>18196</v>
      </c>
      <c r="N9" s="189">
        <v>40000</v>
      </c>
      <c r="O9" s="188">
        <v>40000</v>
      </c>
      <c r="P9" s="188">
        <f t="shared" ref="P9:P25" si="4">L9+M9</f>
        <v>54588</v>
      </c>
      <c r="Q9" s="188">
        <v>65000</v>
      </c>
      <c r="R9" s="188">
        <v>14139</v>
      </c>
      <c r="S9" s="188">
        <f t="shared" ref="S9:S25" si="5">R9*2</f>
        <v>28278</v>
      </c>
      <c r="T9" s="188">
        <v>30000</v>
      </c>
      <c r="U9" s="188">
        <v>20246</v>
      </c>
      <c r="V9" s="190">
        <f t="shared" si="2"/>
        <v>24295.200000000001</v>
      </c>
      <c r="W9" s="188">
        <v>30000</v>
      </c>
      <c r="X9" s="188">
        <v>15260</v>
      </c>
      <c r="Y9" s="188">
        <v>18000</v>
      </c>
      <c r="Z9" s="188">
        <f>Y9</f>
        <v>18000</v>
      </c>
      <c r="AA9" s="198">
        <v>17000</v>
      </c>
      <c r="AB9" s="198">
        <v>17000</v>
      </c>
      <c r="AC9" s="196"/>
      <c r="AD9" s="87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</row>
    <row r="10" spans="1:256" ht="30" customHeight="1" x14ac:dyDescent="0.25">
      <c r="A10" s="197">
        <v>611200.43099999998</v>
      </c>
      <c r="B10" s="232" t="s">
        <v>46</v>
      </c>
      <c r="C10" s="194">
        <v>130000</v>
      </c>
      <c r="D10" s="187"/>
      <c r="E10" s="187">
        <v>10530</v>
      </c>
      <c r="F10" s="194">
        <v>130000</v>
      </c>
      <c r="G10" s="188">
        <v>78000</v>
      </c>
      <c r="H10" s="195">
        <v>57968</v>
      </c>
      <c r="I10" s="188">
        <v>41961</v>
      </c>
      <c r="J10" s="189"/>
      <c r="K10" s="189">
        <f t="shared" si="1"/>
        <v>55948</v>
      </c>
      <c r="L10" s="189">
        <v>32000</v>
      </c>
      <c r="M10" s="189">
        <v>32000</v>
      </c>
      <c r="N10" s="189">
        <v>60000</v>
      </c>
      <c r="O10" s="188">
        <v>68060</v>
      </c>
      <c r="P10" s="188">
        <f t="shared" si="4"/>
        <v>64000</v>
      </c>
      <c r="Q10" s="188">
        <v>75000</v>
      </c>
      <c r="R10" s="188">
        <f>18696+15000</f>
        <v>33696</v>
      </c>
      <c r="S10" s="188">
        <f t="shared" si="5"/>
        <v>67392</v>
      </c>
      <c r="T10" s="188">
        <v>70000</v>
      </c>
      <c r="U10" s="188">
        <v>69227</v>
      </c>
      <c r="V10" s="190">
        <f t="shared" si="2"/>
        <v>83072.399999999994</v>
      </c>
      <c r="W10" s="188">
        <v>80000</v>
      </c>
      <c r="X10" s="188">
        <v>80518</v>
      </c>
      <c r="Y10" s="188">
        <v>80000</v>
      </c>
      <c r="Z10" s="188">
        <f t="shared" ref="Z10:Z37" si="6">Y10</f>
        <v>80000</v>
      </c>
      <c r="AA10" s="198">
        <v>62000</v>
      </c>
      <c r="AB10" s="198">
        <v>62000</v>
      </c>
      <c r="AC10" s="196"/>
      <c r="AD10" s="87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</row>
    <row r="11" spans="1:256" ht="30" customHeight="1" x14ac:dyDescent="0.25">
      <c r="A11" s="197">
        <v>611200.43200000003</v>
      </c>
      <c r="B11" s="232" t="s">
        <v>47</v>
      </c>
      <c r="C11" s="194">
        <v>40000</v>
      </c>
      <c r="D11" s="187"/>
      <c r="E11" s="187">
        <v>34977</v>
      </c>
      <c r="F11" s="194">
        <v>60000</v>
      </c>
      <c r="G11" s="199">
        <f>38000+15000</f>
        <v>53000</v>
      </c>
      <c r="H11" s="195">
        <v>28148</v>
      </c>
      <c r="I11" s="188">
        <v>28579</v>
      </c>
      <c r="J11" s="189"/>
      <c r="K11" s="189">
        <f t="shared" si="1"/>
        <v>38105.333333333336</v>
      </c>
      <c r="L11" s="189">
        <v>32000</v>
      </c>
      <c r="M11" s="189">
        <v>30000</v>
      </c>
      <c r="N11" s="189">
        <v>40000</v>
      </c>
      <c r="O11" s="188">
        <v>40000</v>
      </c>
      <c r="P11" s="188">
        <f t="shared" si="4"/>
        <v>62000</v>
      </c>
      <c r="Q11" s="188">
        <v>60000</v>
      </c>
      <c r="R11" s="188">
        <v>41544</v>
      </c>
      <c r="S11" s="188">
        <f t="shared" si="5"/>
        <v>83088</v>
      </c>
      <c r="T11" s="188">
        <v>83088</v>
      </c>
      <c r="U11" s="188">
        <v>58643</v>
      </c>
      <c r="V11" s="190">
        <f t="shared" si="2"/>
        <v>70371.600000000006</v>
      </c>
      <c r="W11" s="188">
        <v>60000</v>
      </c>
      <c r="X11" s="188">
        <v>88870</v>
      </c>
      <c r="Y11" s="188">
        <v>89000</v>
      </c>
      <c r="Z11" s="188">
        <f t="shared" si="6"/>
        <v>89000</v>
      </c>
      <c r="AA11" s="198">
        <v>32000</v>
      </c>
      <c r="AB11" s="198">
        <v>32000</v>
      </c>
      <c r="AC11" s="196"/>
      <c r="AD11" s="87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</row>
    <row r="12" spans="1:256" ht="30" customHeight="1" x14ac:dyDescent="0.25">
      <c r="A12" s="197">
        <v>611200.43299999996</v>
      </c>
      <c r="B12" s="232" t="s">
        <v>48</v>
      </c>
      <c r="C12" s="194">
        <v>12000</v>
      </c>
      <c r="D12" s="187"/>
      <c r="E12" s="187">
        <v>15170</v>
      </c>
      <c r="F12" s="194">
        <v>15000</v>
      </c>
      <c r="G12" s="188">
        <v>15000</v>
      </c>
      <c r="H12" s="195">
        <v>11135</v>
      </c>
      <c r="I12" s="188">
        <v>5911</v>
      </c>
      <c r="J12" s="189"/>
      <c r="K12" s="189">
        <f t="shared" si="1"/>
        <v>7881.333333333333</v>
      </c>
      <c r="L12" s="189">
        <v>1355</v>
      </c>
      <c r="M12" s="189">
        <f t="shared" si="3"/>
        <v>677.5</v>
      </c>
      <c r="N12" s="189">
        <v>15000</v>
      </c>
      <c r="O12" s="188">
        <v>15000</v>
      </c>
      <c r="P12" s="188">
        <f t="shared" si="4"/>
        <v>2032.5</v>
      </c>
      <c r="Q12" s="188">
        <v>25000</v>
      </c>
      <c r="R12" s="188">
        <v>231.5</v>
      </c>
      <c r="S12" s="188">
        <f t="shared" si="5"/>
        <v>463</v>
      </c>
      <c r="T12" s="188">
        <v>10000</v>
      </c>
      <c r="U12" s="188">
        <v>9157</v>
      </c>
      <c r="V12" s="190">
        <f t="shared" si="2"/>
        <v>10988.4</v>
      </c>
      <c r="W12" s="188">
        <v>10000</v>
      </c>
      <c r="X12" s="188">
        <v>11399</v>
      </c>
      <c r="Y12" s="188">
        <v>11000</v>
      </c>
      <c r="Z12" s="188">
        <f t="shared" si="6"/>
        <v>11000</v>
      </c>
      <c r="AA12" s="198">
        <v>28000</v>
      </c>
      <c r="AB12" s="198">
        <v>28000</v>
      </c>
      <c r="AC12" s="196"/>
      <c r="AD12" s="87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</row>
    <row r="13" spans="1:256" ht="30" customHeight="1" x14ac:dyDescent="0.25">
      <c r="A13" s="197">
        <v>611200.43999999994</v>
      </c>
      <c r="B13" s="232" t="s">
        <v>49</v>
      </c>
      <c r="C13" s="194">
        <v>350000</v>
      </c>
      <c r="D13" s="187"/>
      <c r="E13" s="187">
        <v>289509</v>
      </c>
      <c r="F13" s="194">
        <f>550000-200000</f>
        <v>350000</v>
      </c>
      <c r="G13" s="188">
        <v>410000</v>
      </c>
      <c r="H13" s="195">
        <v>306141</v>
      </c>
      <c r="I13" s="188">
        <v>250159</v>
      </c>
      <c r="J13" s="189"/>
      <c r="K13" s="189">
        <f t="shared" si="1"/>
        <v>333545.33333333331</v>
      </c>
      <c r="L13" s="189">
        <v>74685</v>
      </c>
      <c r="M13" s="189">
        <v>250000</v>
      </c>
      <c r="N13" s="189">
        <v>333000</v>
      </c>
      <c r="O13" s="188">
        <v>280200</v>
      </c>
      <c r="P13" s="188">
        <f t="shared" si="4"/>
        <v>324685</v>
      </c>
      <c r="Q13" s="200">
        <f>280000+200000</f>
        <v>480000</v>
      </c>
      <c r="R13" s="188">
        <v>268863</v>
      </c>
      <c r="S13" s="188">
        <f t="shared" si="5"/>
        <v>537726</v>
      </c>
      <c r="T13" s="188">
        <v>537726</v>
      </c>
      <c r="U13" s="188">
        <v>292161</v>
      </c>
      <c r="V13" s="190">
        <f t="shared" si="2"/>
        <v>350593.2</v>
      </c>
      <c r="W13" s="188">
        <v>537726</v>
      </c>
      <c r="X13" s="188">
        <v>332676</v>
      </c>
      <c r="Y13" s="188">
        <v>460000</v>
      </c>
      <c r="Z13" s="188">
        <f t="shared" si="6"/>
        <v>460000</v>
      </c>
      <c r="AA13" s="198">
        <v>508000</v>
      </c>
      <c r="AB13" s="198">
        <v>508000</v>
      </c>
      <c r="AC13" s="196"/>
      <c r="AD13" s="88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</row>
    <row r="14" spans="1:256" ht="30" customHeight="1" x14ac:dyDescent="0.25">
      <c r="A14" s="197">
        <v>611200.51100000006</v>
      </c>
      <c r="B14" s="232" t="s">
        <v>50</v>
      </c>
      <c r="C14" s="194">
        <v>40000</v>
      </c>
      <c r="D14" s="187"/>
      <c r="E14" s="187">
        <v>19110</v>
      </c>
      <c r="F14" s="194">
        <v>40000</v>
      </c>
      <c r="G14" s="188">
        <v>38000</v>
      </c>
      <c r="H14" s="195">
        <v>28334</v>
      </c>
      <c r="I14" s="188">
        <v>22661</v>
      </c>
      <c r="J14" s="189"/>
      <c r="K14" s="189">
        <f t="shared" si="1"/>
        <v>30214.666666666668</v>
      </c>
      <c r="L14" s="189">
        <v>26343</v>
      </c>
      <c r="M14" s="189">
        <f t="shared" si="3"/>
        <v>13171.5</v>
      </c>
      <c r="N14" s="189">
        <v>30000</v>
      </c>
      <c r="O14" s="188">
        <v>31000</v>
      </c>
      <c r="P14" s="188">
        <f t="shared" si="4"/>
        <v>39514.5</v>
      </c>
      <c r="Q14" s="188">
        <v>45000</v>
      </c>
      <c r="R14" s="188">
        <v>9822</v>
      </c>
      <c r="S14" s="188">
        <f t="shared" si="5"/>
        <v>19644</v>
      </c>
      <c r="T14" s="188">
        <v>20000</v>
      </c>
      <c r="U14" s="188">
        <v>19391</v>
      </c>
      <c r="V14" s="190">
        <f t="shared" si="2"/>
        <v>23269.200000000001</v>
      </c>
      <c r="W14" s="188">
        <v>40000</v>
      </c>
      <c r="X14" s="188">
        <v>38982</v>
      </c>
      <c r="Y14" s="188">
        <v>47000</v>
      </c>
      <c r="Z14" s="188">
        <f t="shared" si="6"/>
        <v>47000</v>
      </c>
      <c r="AA14" s="198">
        <v>50000</v>
      </c>
      <c r="AB14" s="198">
        <v>50000</v>
      </c>
      <c r="AC14" s="196"/>
      <c r="AD14" s="88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</row>
    <row r="15" spans="1:256" ht="30" customHeight="1" x14ac:dyDescent="0.25">
      <c r="A15" s="197">
        <v>611200.51399999997</v>
      </c>
      <c r="B15" s="232" t="s">
        <v>207</v>
      </c>
      <c r="C15" s="194">
        <v>20000</v>
      </c>
      <c r="D15" s="187"/>
      <c r="E15" s="187">
        <v>11844</v>
      </c>
      <c r="F15" s="194">
        <v>20000</v>
      </c>
      <c r="G15" s="188">
        <v>3500</v>
      </c>
      <c r="H15" s="195">
        <v>0</v>
      </c>
      <c r="I15" s="188">
        <v>8160</v>
      </c>
      <c r="J15" s="189"/>
      <c r="K15" s="189">
        <f t="shared" si="1"/>
        <v>10880</v>
      </c>
      <c r="L15" s="189">
        <v>1620</v>
      </c>
      <c r="M15" s="189">
        <f t="shared" si="3"/>
        <v>810</v>
      </c>
      <c r="N15" s="189">
        <v>12000</v>
      </c>
      <c r="O15" s="188">
        <v>12000</v>
      </c>
      <c r="P15" s="188">
        <f t="shared" si="4"/>
        <v>2430</v>
      </c>
      <c r="Q15" s="188">
        <f>O15</f>
        <v>12000</v>
      </c>
      <c r="R15" s="188">
        <v>0</v>
      </c>
      <c r="S15" s="188">
        <f t="shared" si="5"/>
        <v>0</v>
      </c>
      <c r="T15" s="188">
        <v>5000</v>
      </c>
      <c r="U15" s="188">
        <v>6725</v>
      </c>
      <c r="V15" s="190">
        <f t="shared" si="2"/>
        <v>8070</v>
      </c>
      <c r="W15" s="188">
        <v>5000</v>
      </c>
      <c r="X15" s="188">
        <v>5332</v>
      </c>
      <c r="Y15" s="188">
        <v>9000</v>
      </c>
      <c r="Z15" s="188">
        <f t="shared" si="6"/>
        <v>9000</v>
      </c>
      <c r="AA15" s="198">
        <v>5000</v>
      </c>
      <c r="AB15" s="198">
        <v>5000</v>
      </c>
      <c r="AC15" s="196"/>
      <c r="AD15" s="88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</row>
    <row r="16" spans="1:256" ht="30" customHeight="1" x14ac:dyDescent="0.25">
      <c r="A16" s="197">
        <v>611200.52</v>
      </c>
      <c r="B16" s="232" t="s">
        <v>433</v>
      </c>
      <c r="C16" s="194">
        <v>200000</v>
      </c>
      <c r="D16" s="187"/>
      <c r="E16" s="187">
        <v>26900</v>
      </c>
      <c r="F16" s="194">
        <v>120000</v>
      </c>
      <c r="G16" s="188">
        <v>213000</v>
      </c>
      <c r="H16" s="195">
        <v>159309</v>
      </c>
      <c r="I16" s="188">
        <v>148511</v>
      </c>
      <c r="J16" s="189"/>
      <c r="K16" s="189">
        <f t="shared" si="1"/>
        <v>198014.66666666666</v>
      </c>
      <c r="L16" s="189">
        <v>164111</v>
      </c>
      <c r="M16" s="189">
        <f t="shared" si="3"/>
        <v>82055.5</v>
      </c>
      <c r="N16" s="189">
        <v>200000</v>
      </c>
      <c r="O16" s="188">
        <v>200000</v>
      </c>
      <c r="P16" s="188">
        <f t="shared" si="4"/>
        <v>246166.5</v>
      </c>
      <c r="Q16" s="188">
        <v>200000</v>
      </c>
      <c r="R16" s="188">
        <f>183157/2</f>
        <v>91578.5</v>
      </c>
      <c r="S16" s="188">
        <f t="shared" si="5"/>
        <v>183157</v>
      </c>
      <c r="T16" s="188">
        <v>190000</v>
      </c>
      <c r="U16" s="188">
        <v>183157</v>
      </c>
      <c r="V16" s="190">
        <f t="shared" si="2"/>
        <v>219788.4</v>
      </c>
      <c r="W16" s="188">
        <v>195000</v>
      </c>
      <c r="X16" s="188">
        <v>207150</v>
      </c>
      <c r="Y16" s="188">
        <v>217000</v>
      </c>
      <c r="Z16" s="188">
        <f t="shared" si="6"/>
        <v>217000</v>
      </c>
      <c r="AA16" s="198">
        <v>235000</v>
      </c>
      <c r="AB16" s="198">
        <v>235000</v>
      </c>
      <c r="AC16" s="196"/>
      <c r="AD16" s="88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</row>
    <row r="17" spans="1:256" ht="30" customHeight="1" x14ac:dyDescent="0.25">
      <c r="A17" s="197">
        <v>611201.52</v>
      </c>
      <c r="B17" s="232" t="s">
        <v>617</v>
      </c>
      <c r="C17" s="194"/>
      <c r="D17" s="187"/>
      <c r="E17" s="187"/>
      <c r="F17" s="194"/>
      <c r="G17" s="188"/>
      <c r="H17" s="195"/>
      <c r="I17" s="188"/>
      <c r="J17" s="189"/>
      <c r="K17" s="189"/>
      <c r="L17" s="189"/>
      <c r="M17" s="189"/>
      <c r="N17" s="189"/>
      <c r="O17" s="188"/>
      <c r="P17" s="188"/>
      <c r="Q17" s="188"/>
      <c r="R17" s="188"/>
      <c r="S17" s="188"/>
      <c r="T17" s="188"/>
      <c r="U17" s="188"/>
      <c r="V17" s="190"/>
      <c r="W17" s="188">
        <v>105000</v>
      </c>
      <c r="X17" s="188">
        <v>69445</v>
      </c>
      <c r="Y17" s="188">
        <v>70000</v>
      </c>
      <c r="Z17" s="188">
        <f t="shared" si="6"/>
        <v>70000</v>
      </c>
      <c r="AA17" s="198">
        <v>63000</v>
      </c>
      <c r="AB17" s="198">
        <v>63000</v>
      </c>
      <c r="AC17" s="196"/>
      <c r="AD17" s="88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</row>
    <row r="18" spans="1:256" ht="30" customHeight="1" x14ac:dyDescent="0.25">
      <c r="A18" s="197">
        <v>611200.52099999995</v>
      </c>
      <c r="B18" s="232" t="s">
        <v>51</v>
      </c>
      <c r="C18" s="194">
        <v>8000</v>
      </c>
      <c r="D18" s="187"/>
      <c r="E18" s="187">
        <v>7966</v>
      </c>
      <c r="F18" s="194">
        <v>15000</v>
      </c>
      <c r="G18" s="188">
        <v>20000</v>
      </c>
      <c r="H18" s="195">
        <v>14370</v>
      </c>
      <c r="I18" s="188">
        <v>4600</v>
      </c>
      <c r="J18" s="189"/>
      <c r="K18" s="189">
        <f t="shared" si="1"/>
        <v>6133.333333333333</v>
      </c>
      <c r="L18" s="189">
        <v>6250</v>
      </c>
      <c r="M18" s="189">
        <f t="shared" si="3"/>
        <v>3125</v>
      </c>
      <c r="N18" s="189">
        <v>6000</v>
      </c>
      <c r="O18" s="188">
        <v>6300</v>
      </c>
      <c r="P18" s="188">
        <f t="shared" si="4"/>
        <v>9375</v>
      </c>
      <c r="Q18" s="188">
        <v>20000</v>
      </c>
      <c r="R18" s="188">
        <v>2300</v>
      </c>
      <c r="S18" s="188">
        <f t="shared" si="5"/>
        <v>4600</v>
      </c>
      <c r="T18" s="188">
        <v>8000</v>
      </c>
      <c r="U18" s="188">
        <v>8710</v>
      </c>
      <c r="V18" s="190">
        <f t="shared" si="2"/>
        <v>10452</v>
      </c>
      <c r="W18" s="188">
        <v>10000</v>
      </c>
      <c r="X18" s="188">
        <v>2650</v>
      </c>
      <c r="Y18" s="188">
        <v>3000</v>
      </c>
      <c r="Z18" s="188">
        <f t="shared" si="6"/>
        <v>3000</v>
      </c>
      <c r="AA18" s="198">
        <v>1000</v>
      </c>
      <c r="AB18" s="198">
        <v>1000</v>
      </c>
      <c r="AC18" s="196"/>
      <c r="AD18" s="88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</row>
    <row r="19" spans="1:256" ht="30" customHeight="1" x14ac:dyDescent="0.25">
      <c r="A19" s="197">
        <v>611200.522</v>
      </c>
      <c r="B19" s="232" t="s">
        <v>233</v>
      </c>
      <c r="C19" s="194">
        <v>15000</v>
      </c>
      <c r="D19" s="187"/>
      <c r="E19" s="187">
        <v>10093</v>
      </c>
      <c r="F19" s="194">
        <v>15000</v>
      </c>
      <c r="G19" s="189">
        <f>23000</f>
        <v>23000</v>
      </c>
      <c r="H19" s="195">
        <v>16920</v>
      </c>
      <c r="I19" s="188">
        <v>14540</v>
      </c>
      <c r="J19" s="189"/>
      <c r="K19" s="189">
        <f t="shared" si="1"/>
        <v>19386.666666666668</v>
      </c>
      <c r="L19" s="189">
        <v>19748</v>
      </c>
      <c r="M19" s="189">
        <f t="shared" si="3"/>
        <v>9874</v>
      </c>
      <c r="N19" s="189">
        <v>20000</v>
      </c>
      <c r="O19" s="188">
        <v>20000</v>
      </c>
      <c r="P19" s="188">
        <f t="shared" si="4"/>
        <v>29622</v>
      </c>
      <c r="Q19" s="188">
        <f>O19</f>
        <v>20000</v>
      </c>
      <c r="R19" s="188">
        <v>3468</v>
      </c>
      <c r="S19" s="188">
        <f t="shared" si="5"/>
        <v>6936</v>
      </c>
      <c r="T19" s="188">
        <v>8000</v>
      </c>
      <c r="U19" s="188">
        <v>8828</v>
      </c>
      <c r="V19" s="190">
        <f t="shared" si="2"/>
        <v>10593.6</v>
      </c>
      <c r="W19" s="188">
        <v>5000</v>
      </c>
      <c r="X19" s="188">
        <v>850</v>
      </c>
      <c r="Y19" s="188">
        <v>1000</v>
      </c>
      <c r="Z19" s="188">
        <f t="shared" si="6"/>
        <v>1000</v>
      </c>
      <c r="AA19" s="198">
        <v>12000</v>
      </c>
      <c r="AB19" s="198">
        <v>12000</v>
      </c>
      <c r="AC19" s="196"/>
      <c r="AD19" s="88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</row>
    <row r="20" spans="1:256" ht="30" customHeight="1" x14ac:dyDescent="0.25">
      <c r="A20" s="197">
        <v>611200.54</v>
      </c>
      <c r="B20" s="232" t="s">
        <v>417</v>
      </c>
      <c r="C20" s="194">
        <v>180000</v>
      </c>
      <c r="D20" s="187"/>
      <c r="E20" s="187">
        <v>172796</v>
      </c>
      <c r="F20" s="194">
        <v>180000</v>
      </c>
      <c r="G20" s="188">
        <v>206000</v>
      </c>
      <c r="H20" s="195">
        <v>191779</v>
      </c>
      <c r="I20" s="188">
        <v>213930</v>
      </c>
      <c r="J20" s="189"/>
      <c r="K20" s="189">
        <f t="shared" si="1"/>
        <v>285240</v>
      </c>
      <c r="L20" s="189">
        <v>110655</v>
      </c>
      <c r="M20" s="189">
        <f t="shared" si="3"/>
        <v>55327.5</v>
      </c>
      <c r="N20" s="189">
        <v>280000</v>
      </c>
      <c r="O20" s="188">
        <v>195000</v>
      </c>
      <c r="P20" s="189">
        <f t="shared" si="4"/>
        <v>165982.5</v>
      </c>
      <c r="Q20" s="189">
        <f>210000-40000</f>
        <v>170000</v>
      </c>
      <c r="R20" s="189">
        <v>75133</v>
      </c>
      <c r="S20" s="188">
        <f t="shared" si="5"/>
        <v>150266</v>
      </c>
      <c r="T20" s="188">
        <f>Q20</f>
        <v>170000</v>
      </c>
      <c r="U20" s="189">
        <v>187532</v>
      </c>
      <c r="V20" s="190">
        <f t="shared" si="2"/>
        <v>225038.4</v>
      </c>
      <c r="W20" s="188">
        <v>200000</v>
      </c>
      <c r="X20" s="188">
        <v>211488</v>
      </c>
      <c r="Y20" s="188">
        <v>222000</v>
      </c>
      <c r="Z20" s="188">
        <f t="shared" si="6"/>
        <v>222000</v>
      </c>
      <c r="AA20" s="198">
        <v>200000</v>
      </c>
      <c r="AB20" s="198">
        <v>200000</v>
      </c>
      <c r="AC20" s="196"/>
      <c r="AD20" s="88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</row>
    <row r="21" spans="1:256" ht="30" customHeight="1" x14ac:dyDescent="0.25">
      <c r="A21" s="197">
        <v>611200.55000000005</v>
      </c>
      <c r="B21" s="232" t="s">
        <v>208</v>
      </c>
      <c r="C21" s="194">
        <v>30000</v>
      </c>
      <c r="D21" s="187"/>
      <c r="E21" s="187">
        <v>32907</v>
      </c>
      <c r="F21" s="194">
        <v>30000</v>
      </c>
      <c r="G21" s="188">
        <v>75000</v>
      </c>
      <c r="H21" s="195">
        <v>19063</v>
      </c>
      <c r="I21" s="188">
        <v>74078</v>
      </c>
      <c r="J21" s="189"/>
      <c r="K21" s="189">
        <f t="shared" si="1"/>
        <v>98770.666666666672</v>
      </c>
      <c r="L21" s="189">
        <v>102876</v>
      </c>
      <c r="M21" s="189">
        <f t="shared" si="3"/>
        <v>51438</v>
      </c>
      <c r="N21" s="189">
        <v>70000</v>
      </c>
      <c r="O21" s="188">
        <v>147900</v>
      </c>
      <c r="P21" s="188">
        <f t="shared" si="4"/>
        <v>154314</v>
      </c>
      <c r="Q21" s="188">
        <v>120000</v>
      </c>
      <c r="R21" s="188">
        <v>18918</v>
      </c>
      <c r="S21" s="188">
        <f t="shared" si="5"/>
        <v>37836</v>
      </c>
      <c r="T21" s="188">
        <f>75000+85000</f>
        <v>160000</v>
      </c>
      <c r="U21" s="188">
        <v>124212</v>
      </c>
      <c r="V21" s="190">
        <f t="shared" si="2"/>
        <v>149054.39999999999</v>
      </c>
      <c r="W21" s="188">
        <v>100000</v>
      </c>
      <c r="X21" s="188">
        <v>88521</v>
      </c>
      <c r="Y21" s="188">
        <v>106000</v>
      </c>
      <c r="Z21" s="188">
        <f t="shared" si="6"/>
        <v>106000</v>
      </c>
      <c r="AA21" s="198">
        <v>50000</v>
      </c>
      <c r="AB21" s="198">
        <v>50000</v>
      </c>
      <c r="AC21" s="196"/>
      <c r="AD21" s="88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</row>
    <row r="22" spans="1:256" ht="30" customHeight="1" x14ac:dyDescent="0.25">
      <c r="A22" s="197">
        <v>611200.56000000006</v>
      </c>
      <c r="B22" s="232" t="s">
        <v>659</v>
      </c>
      <c r="C22" s="194">
        <v>12000</v>
      </c>
      <c r="D22" s="187"/>
      <c r="E22" s="187">
        <v>8729</v>
      </c>
      <c r="F22" s="194">
        <v>10000</v>
      </c>
      <c r="G22" s="199">
        <f>15000-2000+5000</f>
        <v>18000</v>
      </c>
      <c r="H22" s="195">
        <v>9595</v>
      </c>
      <c r="I22" s="188">
        <v>8983</v>
      </c>
      <c r="J22" s="189"/>
      <c r="K22" s="189">
        <f t="shared" si="1"/>
        <v>11977.333333333334</v>
      </c>
      <c r="L22" s="189">
        <v>9429</v>
      </c>
      <c r="M22" s="189">
        <f t="shared" si="3"/>
        <v>4714.5</v>
      </c>
      <c r="N22" s="189">
        <v>12000</v>
      </c>
      <c r="O22" s="188">
        <v>12000</v>
      </c>
      <c r="P22" s="188">
        <f t="shared" si="4"/>
        <v>14143.5</v>
      </c>
      <c r="Q22" s="188">
        <f>15000+30000</f>
        <v>45000</v>
      </c>
      <c r="R22" s="188">
        <v>14282</v>
      </c>
      <c r="S22" s="188">
        <f t="shared" si="5"/>
        <v>28564</v>
      </c>
      <c r="T22" s="188">
        <v>30000</v>
      </c>
      <c r="U22" s="188">
        <v>14766</v>
      </c>
      <c r="V22" s="190">
        <f t="shared" si="2"/>
        <v>17719.2</v>
      </c>
      <c r="W22" s="188">
        <v>20000</v>
      </c>
      <c r="X22" s="188">
        <v>12525</v>
      </c>
      <c r="Y22" s="188">
        <v>15000</v>
      </c>
      <c r="Z22" s="188">
        <f t="shared" si="6"/>
        <v>15000</v>
      </c>
      <c r="AA22" s="198">
        <v>24000</v>
      </c>
      <c r="AB22" s="198">
        <v>24000</v>
      </c>
      <c r="AC22" s="196"/>
      <c r="AD22" s="88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</row>
    <row r="23" spans="1:256" ht="30" customHeight="1" x14ac:dyDescent="0.25">
      <c r="A23" s="197">
        <v>611200.74</v>
      </c>
      <c r="B23" s="232" t="s">
        <v>660</v>
      </c>
      <c r="C23" s="194">
        <v>2000</v>
      </c>
      <c r="D23" s="187"/>
      <c r="E23" s="187">
        <v>3331</v>
      </c>
      <c r="F23" s="194">
        <v>10000</v>
      </c>
      <c r="G23" s="189">
        <f>30000-5000</f>
        <v>25000</v>
      </c>
      <c r="H23" s="195">
        <v>22867</v>
      </c>
      <c r="I23" s="188">
        <v>1200</v>
      </c>
      <c r="J23" s="189"/>
      <c r="K23" s="189">
        <f t="shared" si="1"/>
        <v>1600</v>
      </c>
      <c r="L23" s="189">
        <v>629</v>
      </c>
      <c r="M23" s="189">
        <f t="shared" si="3"/>
        <v>314.5</v>
      </c>
      <c r="N23" s="189">
        <v>2000</v>
      </c>
      <c r="O23" s="188">
        <v>2000</v>
      </c>
      <c r="P23" s="188">
        <f t="shared" si="4"/>
        <v>943.5</v>
      </c>
      <c r="Q23" s="188">
        <v>15000</v>
      </c>
      <c r="R23" s="188">
        <v>3456</v>
      </c>
      <c r="S23" s="188">
        <f t="shared" si="5"/>
        <v>6912</v>
      </c>
      <c r="T23" s="188">
        <v>10000</v>
      </c>
      <c r="U23" s="188">
        <v>5816</v>
      </c>
      <c r="V23" s="190">
        <f t="shared" si="2"/>
        <v>6979.2</v>
      </c>
      <c r="W23" s="188">
        <v>8000</v>
      </c>
      <c r="X23" s="188">
        <v>1750</v>
      </c>
      <c r="Y23" s="188">
        <v>2000</v>
      </c>
      <c r="Z23" s="188">
        <f t="shared" si="6"/>
        <v>2000</v>
      </c>
      <c r="AA23" s="198"/>
      <c r="AB23" s="198"/>
      <c r="AC23" s="196"/>
      <c r="AD23" s="88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</row>
    <row r="24" spans="1:256" ht="30" customHeight="1" x14ac:dyDescent="0.25">
      <c r="A24" s="197">
        <v>611200.78</v>
      </c>
      <c r="B24" s="232" t="s">
        <v>52</v>
      </c>
      <c r="C24" s="194">
        <v>275000</v>
      </c>
      <c r="D24" s="187"/>
      <c r="E24" s="187">
        <f>41861+25000</f>
        <v>66861</v>
      </c>
      <c r="F24" s="194">
        <v>250000</v>
      </c>
      <c r="G24" s="199">
        <f>75000-5000+15000</f>
        <v>85000</v>
      </c>
      <c r="H24" s="195">
        <v>55853</v>
      </c>
      <c r="I24" s="188">
        <v>69615</v>
      </c>
      <c r="J24" s="189"/>
      <c r="K24" s="189">
        <f t="shared" si="1"/>
        <v>92820</v>
      </c>
      <c r="L24" s="189">
        <v>70907</v>
      </c>
      <c r="M24" s="189">
        <f t="shared" si="3"/>
        <v>35453.5</v>
      </c>
      <c r="N24" s="189">
        <v>69000</v>
      </c>
      <c r="O24" s="188">
        <v>82000</v>
      </c>
      <c r="P24" s="188">
        <f t="shared" si="4"/>
        <v>106360.5</v>
      </c>
      <c r="Q24" s="188">
        <v>140000</v>
      </c>
      <c r="R24" s="188">
        <v>8380</v>
      </c>
      <c r="S24" s="188">
        <f t="shared" si="5"/>
        <v>16760</v>
      </c>
      <c r="T24" s="188">
        <v>35000</v>
      </c>
      <c r="U24" s="188">
        <v>28026</v>
      </c>
      <c r="V24" s="190">
        <f t="shared" si="2"/>
        <v>33631.199999999997</v>
      </c>
      <c r="W24" s="188">
        <v>30000</v>
      </c>
      <c r="X24" s="188">
        <v>29838</v>
      </c>
      <c r="Y24" s="188">
        <v>30000</v>
      </c>
      <c r="Z24" s="188">
        <f t="shared" si="6"/>
        <v>30000</v>
      </c>
      <c r="AA24" s="198">
        <v>95000</v>
      </c>
      <c r="AB24" s="198">
        <v>95000</v>
      </c>
      <c r="AC24" s="196"/>
      <c r="AD24" s="88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</row>
    <row r="25" spans="1:256" ht="30" customHeight="1" x14ac:dyDescent="0.25">
      <c r="A25" s="197">
        <v>611200.81999999995</v>
      </c>
      <c r="B25" s="232" t="s">
        <v>418</v>
      </c>
      <c r="C25" s="194">
        <v>20000</v>
      </c>
      <c r="D25" s="187"/>
      <c r="E25" s="187">
        <v>25000</v>
      </c>
      <c r="F25" s="194">
        <v>25000</v>
      </c>
      <c r="G25" s="188">
        <v>76500</v>
      </c>
      <c r="H25" s="195">
        <v>57254</v>
      </c>
      <c r="I25" s="188">
        <v>59487</v>
      </c>
      <c r="J25" s="189"/>
      <c r="K25" s="189">
        <f t="shared" si="1"/>
        <v>79316</v>
      </c>
      <c r="L25" s="189">
        <v>42974</v>
      </c>
      <c r="M25" s="189">
        <f t="shared" si="3"/>
        <v>21487</v>
      </c>
      <c r="N25" s="189">
        <v>80000</v>
      </c>
      <c r="O25" s="188">
        <v>68000</v>
      </c>
      <c r="P25" s="188">
        <f t="shared" si="4"/>
        <v>64461</v>
      </c>
      <c r="Q25" s="188">
        <f>O25</f>
        <v>68000</v>
      </c>
      <c r="R25" s="188">
        <v>49930</v>
      </c>
      <c r="S25" s="188">
        <f t="shared" si="5"/>
        <v>99860</v>
      </c>
      <c r="T25" s="188">
        <v>99860</v>
      </c>
      <c r="U25" s="188">
        <v>49930</v>
      </c>
      <c r="V25" s="190">
        <f t="shared" si="2"/>
        <v>59916</v>
      </c>
      <c r="W25" s="188">
        <v>55000</v>
      </c>
      <c r="X25" s="188">
        <v>20000</v>
      </c>
      <c r="Y25" s="188">
        <v>20000</v>
      </c>
      <c r="Z25" s="188">
        <f t="shared" si="6"/>
        <v>20000</v>
      </c>
      <c r="AA25" s="198">
        <v>86000</v>
      </c>
      <c r="AB25" s="198">
        <v>20000</v>
      </c>
      <c r="AC25" s="196"/>
      <c r="AD25" s="88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</row>
    <row r="26" spans="1:256" ht="30" customHeight="1" x14ac:dyDescent="0.25">
      <c r="A26" s="193">
        <v>612000.11</v>
      </c>
      <c r="B26" s="232" t="s">
        <v>423</v>
      </c>
      <c r="C26" s="194"/>
      <c r="D26" s="187"/>
      <c r="E26" s="187"/>
      <c r="F26" s="194"/>
      <c r="G26" s="188">
        <v>200000</v>
      </c>
      <c r="H26" s="195">
        <v>0</v>
      </c>
      <c r="I26" s="188">
        <v>110787</v>
      </c>
      <c r="J26" s="189"/>
      <c r="K26" s="189">
        <f t="shared" si="1"/>
        <v>147716</v>
      </c>
      <c r="L26" s="189">
        <v>233312</v>
      </c>
      <c r="M26" s="189">
        <f t="shared" si="3"/>
        <v>116656</v>
      </c>
      <c r="N26" s="190">
        <v>270000</v>
      </c>
      <c r="O26" s="190">
        <v>398000</v>
      </c>
      <c r="P26" s="190">
        <f>M26+L26</f>
        <v>349968</v>
      </c>
      <c r="Q26" s="190">
        <v>518320</v>
      </c>
      <c r="R26" s="190">
        <f>0.99*259002.26</f>
        <v>256412.23740000001</v>
      </c>
      <c r="S26" s="190">
        <f t="shared" ref="S26:S33" si="7">R26*2</f>
        <v>512824.47480000003</v>
      </c>
      <c r="T26" s="190">
        <f>S26</f>
        <v>512824.47480000003</v>
      </c>
      <c r="U26" s="190">
        <v>424763</v>
      </c>
      <c r="V26" s="190">
        <f t="shared" si="2"/>
        <v>509715.6</v>
      </c>
      <c r="W26" s="190">
        <v>512824</v>
      </c>
      <c r="X26" s="190">
        <v>422247</v>
      </c>
      <c r="Y26" s="190">
        <v>505000</v>
      </c>
      <c r="Z26" s="190">
        <v>515000</v>
      </c>
      <c r="AA26" s="191">
        <v>509000</v>
      </c>
      <c r="AB26" s="191">
        <v>550000</v>
      </c>
      <c r="AC26" s="196">
        <v>1</v>
      </c>
      <c r="AD26" s="88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</row>
    <row r="27" spans="1:256" s="50" customFormat="1" ht="30" customHeight="1" x14ac:dyDescent="0.25">
      <c r="A27" s="197">
        <v>612000.52099999995</v>
      </c>
      <c r="B27" s="233" t="s">
        <v>618</v>
      </c>
      <c r="C27" s="201" t="s">
        <v>252</v>
      </c>
      <c r="D27" s="201" t="s">
        <v>252</v>
      </c>
      <c r="E27" s="201" t="s">
        <v>252</v>
      </c>
      <c r="F27" s="201" t="s">
        <v>252</v>
      </c>
      <c r="G27" s="201" t="s">
        <v>252</v>
      </c>
      <c r="H27" s="201" t="s">
        <v>252</v>
      </c>
      <c r="I27" s="201" t="s">
        <v>252</v>
      </c>
      <c r="J27" s="201" t="s">
        <v>252</v>
      </c>
      <c r="K27" s="201" t="s">
        <v>252</v>
      </c>
      <c r="L27" s="201" t="s">
        <v>252</v>
      </c>
      <c r="M27" s="201" t="s">
        <v>252</v>
      </c>
      <c r="N27" s="201" t="s">
        <v>252</v>
      </c>
      <c r="O27" s="201" t="s">
        <v>252</v>
      </c>
      <c r="P27" s="201" t="s">
        <v>252</v>
      </c>
      <c r="Q27" s="201" t="s">
        <v>252</v>
      </c>
      <c r="R27" s="201" t="s">
        <v>252</v>
      </c>
      <c r="S27" s="201" t="s">
        <v>252</v>
      </c>
      <c r="T27" s="201"/>
      <c r="U27" s="189"/>
      <c r="V27" s="189"/>
      <c r="W27" s="189">
        <v>5000</v>
      </c>
      <c r="X27" s="189">
        <v>3365</v>
      </c>
      <c r="Y27" s="188">
        <v>4000</v>
      </c>
      <c r="Z27" s="188">
        <f t="shared" si="6"/>
        <v>4000</v>
      </c>
      <c r="AA27" s="198">
        <v>5000</v>
      </c>
      <c r="AB27" s="198">
        <v>5000</v>
      </c>
      <c r="AC27" s="196"/>
      <c r="AD27" s="89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  <c r="ER27" s="66"/>
      <c r="ES27" s="66"/>
      <c r="ET27" s="66"/>
      <c r="EU27" s="66"/>
      <c r="EV27" s="66"/>
      <c r="EW27" s="66"/>
      <c r="EX27" s="66"/>
      <c r="EY27" s="66"/>
      <c r="EZ27" s="66"/>
      <c r="FA27" s="66"/>
      <c r="FB27" s="66"/>
      <c r="FC27" s="66"/>
      <c r="FD27" s="66"/>
      <c r="FE27" s="66"/>
      <c r="FF27" s="66"/>
      <c r="FG27" s="66"/>
      <c r="FH27" s="66"/>
      <c r="FI27" s="66"/>
      <c r="FJ27" s="66"/>
      <c r="FK27" s="66"/>
      <c r="FL27" s="66"/>
      <c r="FM27" s="66"/>
      <c r="FN27" s="66"/>
      <c r="FO27" s="66"/>
      <c r="FP27" s="66"/>
      <c r="FQ27" s="66"/>
      <c r="FR27" s="66"/>
      <c r="FS27" s="66"/>
      <c r="FT27" s="66"/>
      <c r="FU27" s="66"/>
      <c r="FV27" s="66"/>
      <c r="FW27" s="66"/>
      <c r="FX27" s="66"/>
      <c r="FY27" s="66"/>
      <c r="FZ27" s="66"/>
      <c r="GA27" s="66"/>
      <c r="GB27" s="66"/>
      <c r="GC27" s="66"/>
      <c r="GD27" s="66"/>
      <c r="GE27" s="66"/>
      <c r="GF27" s="66"/>
      <c r="GG27" s="66"/>
      <c r="GH27" s="66"/>
      <c r="GI27" s="66"/>
      <c r="GJ27" s="66"/>
      <c r="GK27" s="66"/>
      <c r="GL27" s="66"/>
      <c r="GM27" s="66"/>
      <c r="GN27" s="66"/>
      <c r="GO27" s="66"/>
      <c r="GP27" s="66"/>
      <c r="GQ27" s="66"/>
      <c r="GR27" s="66"/>
      <c r="GS27" s="66"/>
      <c r="GT27" s="66"/>
      <c r="GU27" s="66"/>
      <c r="GV27" s="66"/>
      <c r="GW27" s="66"/>
      <c r="GX27" s="66"/>
      <c r="GY27" s="66"/>
      <c r="GZ27" s="66"/>
      <c r="HA27" s="66"/>
      <c r="HB27" s="66"/>
      <c r="HC27" s="66"/>
      <c r="HD27" s="66"/>
      <c r="HE27" s="66"/>
      <c r="HF27" s="66"/>
      <c r="HG27" s="66"/>
      <c r="HH27" s="66"/>
      <c r="HI27" s="66"/>
      <c r="HJ27" s="66"/>
      <c r="HK27" s="66"/>
      <c r="HL27" s="66"/>
      <c r="HM27" s="66"/>
      <c r="HN27" s="66"/>
      <c r="HO27" s="66"/>
      <c r="HP27" s="66"/>
      <c r="HQ27" s="66"/>
      <c r="HR27" s="66"/>
      <c r="HS27" s="66"/>
      <c r="HT27" s="66"/>
      <c r="HU27" s="66"/>
      <c r="HV27" s="66"/>
      <c r="HW27" s="66"/>
      <c r="HX27" s="66"/>
      <c r="HY27" s="66"/>
      <c r="HZ27" s="66"/>
      <c r="IA27" s="66"/>
      <c r="IB27" s="66"/>
      <c r="IC27" s="66"/>
      <c r="ID27" s="66"/>
      <c r="IE27" s="66"/>
      <c r="IF27" s="66"/>
      <c r="IG27" s="66"/>
      <c r="IH27" s="66"/>
      <c r="II27" s="66"/>
      <c r="IJ27" s="66"/>
      <c r="IK27" s="66"/>
      <c r="IL27" s="66"/>
      <c r="IM27" s="66"/>
      <c r="IN27" s="66"/>
      <c r="IO27" s="66"/>
      <c r="IP27" s="66"/>
      <c r="IQ27" s="66"/>
      <c r="IR27" s="66"/>
      <c r="IS27" s="66"/>
      <c r="IT27" s="66"/>
      <c r="IU27" s="66"/>
      <c r="IV27" s="66"/>
    </row>
    <row r="28" spans="1:256" s="50" customFormat="1" ht="30" customHeight="1" x14ac:dyDescent="0.25">
      <c r="A28" s="197">
        <v>612000.75</v>
      </c>
      <c r="B28" s="233" t="s">
        <v>252</v>
      </c>
      <c r="C28" s="202"/>
      <c r="D28" s="203"/>
      <c r="E28" s="203"/>
      <c r="F28" s="202"/>
      <c r="G28" s="189"/>
      <c r="H28" s="204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204"/>
      <c r="U28" s="189"/>
      <c r="V28" s="189"/>
      <c r="W28" s="189">
        <v>10000</v>
      </c>
      <c r="X28" s="189">
        <v>0</v>
      </c>
      <c r="Y28" s="188">
        <v>9000</v>
      </c>
      <c r="Z28" s="188">
        <f t="shared" si="6"/>
        <v>9000</v>
      </c>
      <c r="AA28" s="198">
        <v>9000</v>
      </c>
      <c r="AB28" s="198">
        <v>9000</v>
      </c>
      <c r="AC28" s="196"/>
      <c r="AD28" s="89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66"/>
      <c r="EC28" s="66"/>
      <c r="ED28" s="66"/>
      <c r="EE28" s="66"/>
      <c r="EF28" s="66"/>
      <c r="EG28" s="66"/>
      <c r="EH28" s="66"/>
      <c r="EI28" s="66"/>
      <c r="EJ28" s="66"/>
      <c r="EK28" s="66"/>
      <c r="EL28" s="66"/>
      <c r="EM28" s="66"/>
      <c r="EN28" s="66"/>
      <c r="EO28" s="66"/>
      <c r="EP28" s="66"/>
      <c r="EQ28" s="66"/>
      <c r="ER28" s="66"/>
      <c r="ES28" s="66"/>
      <c r="ET28" s="66"/>
      <c r="EU28" s="66"/>
      <c r="EV28" s="66"/>
      <c r="EW28" s="66"/>
      <c r="EX28" s="66"/>
      <c r="EY28" s="66"/>
      <c r="EZ28" s="66"/>
      <c r="FA28" s="66"/>
      <c r="FB28" s="66"/>
      <c r="FC28" s="66"/>
      <c r="FD28" s="66"/>
      <c r="FE28" s="66"/>
      <c r="FF28" s="66"/>
      <c r="FG28" s="66"/>
      <c r="FH28" s="66"/>
      <c r="FI28" s="66"/>
      <c r="FJ28" s="66"/>
      <c r="FK28" s="66"/>
      <c r="FL28" s="66"/>
      <c r="FM28" s="66"/>
      <c r="FN28" s="66"/>
      <c r="FO28" s="66"/>
      <c r="FP28" s="66"/>
      <c r="FQ28" s="66"/>
      <c r="FR28" s="66"/>
      <c r="FS28" s="66"/>
      <c r="FT28" s="66"/>
      <c r="FU28" s="66"/>
      <c r="FV28" s="66"/>
      <c r="FW28" s="66"/>
      <c r="FX28" s="66"/>
      <c r="FY28" s="66"/>
      <c r="FZ28" s="66"/>
      <c r="GA28" s="66"/>
      <c r="GB28" s="66"/>
      <c r="GC28" s="66"/>
      <c r="GD28" s="66"/>
      <c r="GE28" s="66"/>
      <c r="GF28" s="66"/>
      <c r="GG28" s="66"/>
      <c r="GH28" s="66"/>
      <c r="GI28" s="66"/>
      <c r="GJ28" s="66"/>
      <c r="GK28" s="66"/>
      <c r="GL28" s="66"/>
      <c r="GM28" s="66"/>
      <c r="GN28" s="66"/>
      <c r="GO28" s="66"/>
      <c r="GP28" s="66"/>
      <c r="GQ28" s="66"/>
      <c r="GR28" s="66"/>
      <c r="GS28" s="66"/>
      <c r="GT28" s="66"/>
      <c r="GU28" s="66"/>
      <c r="GV28" s="66"/>
      <c r="GW28" s="66"/>
      <c r="GX28" s="66"/>
      <c r="GY28" s="66"/>
      <c r="GZ28" s="66"/>
      <c r="HA28" s="66"/>
      <c r="HB28" s="66"/>
      <c r="HC28" s="66"/>
      <c r="HD28" s="66"/>
      <c r="HE28" s="66"/>
      <c r="HF28" s="66"/>
      <c r="HG28" s="66"/>
      <c r="HH28" s="66"/>
      <c r="HI28" s="66"/>
      <c r="HJ28" s="66"/>
      <c r="HK28" s="66"/>
      <c r="HL28" s="66"/>
      <c r="HM28" s="66"/>
      <c r="HN28" s="66"/>
      <c r="HO28" s="66"/>
      <c r="HP28" s="66"/>
      <c r="HQ28" s="66"/>
      <c r="HR28" s="66"/>
      <c r="HS28" s="66"/>
      <c r="HT28" s="66"/>
      <c r="HU28" s="66"/>
      <c r="HV28" s="66"/>
      <c r="HW28" s="66"/>
      <c r="HX28" s="66"/>
      <c r="HY28" s="66"/>
      <c r="HZ28" s="66"/>
      <c r="IA28" s="66"/>
      <c r="IB28" s="66"/>
      <c r="IC28" s="66"/>
      <c r="ID28" s="66"/>
      <c r="IE28" s="66"/>
      <c r="IF28" s="66"/>
      <c r="IG28" s="66"/>
      <c r="IH28" s="66"/>
      <c r="II28" s="66"/>
      <c r="IJ28" s="66"/>
      <c r="IK28" s="66"/>
      <c r="IL28" s="66"/>
      <c r="IM28" s="66"/>
      <c r="IN28" s="66"/>
      <c r="IO28" s="66"/>
      <c r="IP28" s="66"/>
      <c r="IQ28" s="66"/>
      <c r="IR28" s="66"/>
      <c r="IS28" s="66"/>
      <c r="IT28" s="66"/>
      <c r="IU28" s="66"/>
      <c r="IV28" s="66"/>
    </row>
    <row r="29" spans="1:256" ht="30" customHeight="1" x14ac:dyDescent="0.25">
      <c r="A29" s="193">
        <v>613000.11</v>
      </c>
      <c r="B29" s="232" t="s">
        <v>14</v>
      </c>
      <c r="C29" s="194">
        <v>1250000</v>
      </c>
      <c r="D29" s="187"/>
      <c r="E29" s="187">
        <v>1266827</v>
      </c>
      <c r="F29" s="194">
        <f>1285000+30000</f>
        <v>1315000</v>
      </c>
      <c r="G29" s="188">
        <v>1414720</v>
      </c>
      <c r="H29" s="195">
        <v>1035162</v>
      </c>
      <c r="I29" s="188">
        <v>1170529</v>
      </c>
      <c r="J29" s="189"/>
      <c r="K29" s="189">
        <f t="shared" si="1"/>
        <v>1560705.3333333333</v>
      </c>
      <c r="L29" s="189">
        <v>1068610</v>
      </c>
      <c r="M29" s="189">
        <f t="shared" si="3"/>
        <v>534305</v>
      </c>
      <c r="N29" s="190">
        <f>1580000-50000-60000+60000</f>
        <v>1530000</v>
      </c>
      <c r="O29" s="190">
        <v>1627000</v>
      </c>
      <c r="P29" s="190">
        <f>M29+L29</f>
        <v>1602915</v>
      </c>
      <c r="Q29" s="190">
        <f>O29*1.045</f>
        <v>1700215</v>
      </c>
      <c r="R29" s="190">
        <f>855892.27*0.99</f>
        <v>847333.34730000002</v>
      </c>
      <c r="S29" s="190">
        <f t="shared" si="7"/>
        <v>1694666.6946</v>
      </c>
      <c r="T29" s="190">
        <f>S29</f>
        <v>1694666.6946</v>
      </c>
      <c r="U29" s="190">
        <v>1391994</v>
      </c>
      <c r="V29" s="190">
        <f t="shared" si="2"/>
        <v>1670392.8</v>
      </c>
      <c r="W29" s="190">
        <v>1695000</v>
      </c>
      <c r="X29" s="190">
        <f>Y29*10/12</f>
        <v>1283333.3333333333</v>
      </c>
      <c r="Y29" s="190">
        <v>1540000</v>
      </c>
      <c r="Z29" s="190">
        <f>1500216-216</f>
        <v>1500000</v>
      </c>
      <c r="AA29" s="191">
        <v>1484000</v>
      </c>
      <c r="AB29" s="191">
        <v>1459000</v>
      </c>
      <c r="AC29" s="196">
        <v>7.7</v>
      </c>
      <c r="AD29" s="88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</row>
    <row r="30" spans="1:256" ht="30" customHeight="1" x14ac:dyDescent="0.25">
      <c r="A30" s="197">
        <v>613000.52099999995</v>
      </c>
      <c r="B30" s="232" t="s">
        <v>15</v>
      </c>
      <c r="C30" s="194">
        <v>5000</v>
      </c>
      <c r="D30" s="187"/>
      <c r="E30" s="187">
        <v>3000</v>
      </c>
      <c r="F30" s="194">
        <v>5000</v>
      </c>
      <c r="G30" s="188">
        <v>3000</v>
      </c>
      <c r="H30" s="195">
        <v>0</v>
      </c>
      <c r="I30" s="188">
        <v>1500</v>
      </c>
      <c r="J30" s="189"/>
      <c r="K30" s="189">
        <f t="shared" si="1"/>
        <v>2000</v>
      </c>
      <c r="L30" s="189">
        <v>1900</v>
      </c>
      <c r="M30" s="189">
        <f t="shared" si="3"/>
        <v>950</v>
      </c>
      <c r="N30" s="189">
        <v>3000</v>
      </c>
      <c r="O30" s="188">
        <v>3000</v>
      </c>
      <c r="P30" s="188">
        <f t="shared" ref="P30:P33" si="8">L30+M30</f>
        <v>2850</v>
      </c>
      <c r="Q30" s="188">
        <f>O30</f>
        <v>3000</v>
      </c>
      <c r="R30" s="188">
        <v>4804</v>
      </c>
      <c r="S30" s="188">
        <f t="shared" si="7"/>
        <v>9608</v>
      </c>
      <c r="T30" s="188">
        <v>9608</v>
      </c>
      <c r="U30" s="188">
        <v>8444</v>
      </c>
      <c r="V30" s="190">
        <f t="shared" si="2"/>
        <v>10132.799999999999</v>
      </c>
      <c r="W30" s="188">
        <v>5000</v>
      </c>
      <c r="X30" s="188">
        <v>4250</v>
      </c>
      <c r="Y30" s="188">
        <v>5000</v>
      </c>
      <c r="Z30" s="188">
        <f t="shared" si="6"/>
        <v>5000</v>
      </c>
      <c r="AA30" s="198">
        <v>2000</v>
      </c>
      <c r="AB30" s="198">
        <v>2000</v>
      </c>
      <c r="AC30" s="196"/>
      <c r="AD30" s="88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</row>
    <row r="31" spans="1:256" ht="30" customHeight="1" x14ac:dyDescent="0.25">
      <c r="A31" s="197">
        <v>613000.54</v>
      </c>
      <c r="B31" s="232" t="s">
        <v>53</v>
      </c>
      <c r="C31" s="194">
        <v>25700</v>
      </c>
      <c r="D31" s="187"/>
      <c r="E31" s="187">
        <v>24544</v>
      </c>
      <c r="F31" s="194">
        <v>26000</v>
      </c>
      <c r="G31" s="188">
        <v>22000</v>
      </c>
      <c r="H31" s="195">
        <v>16322</v>
      </c>
      <c r="I31" s="188">
        <v>11776</v>
      </c>
      <c r="J31" s="189"/>
      <c r="K31" s="189">
        <f t="shared" si="1"/>
        <v>15701.333333333334</v>
      </c>
      <c r="L31" s="189">
        <v>12926</v>
      </c>
      <c r="M31" s="189">
        <f t="shared" si="3"/>
        <v>6463</v>
      </c>
      <c r="N31" s="189">
        <v>16000</v>
      </c>
      <c r="O31" s="188">
        <v>16000</v>
      </c>
      <c r="P31" s="188">
        <f t="shared" si="8"/>
        <v>19389</v>
      </c>
      <c r="Q31" s="188">
        <f>O31</f>
        <v>16000</v>
      </c>
      <c r="R31" s="188">
        <v>5823</v>
      </c>
      <c r="S31" s="188">
        <f t="shared" si="7"/>
        <v>11646</v>
      </c>
      <c r="T31" s="188">
        <v>15000</v>
      </c>
      <c r="U31" s="188">
        <v>13271</v>
      </c>
      <c r="V31" s="190">
        <f t="shared" si="2"/>
        <v>15925.2</v>
      </c>
      <c r="W31" s="188">
        <v>15000</v>
      </c>
      <c r="X31" s="188">
        <v>25361</v>
      </c>
      <c r="Y31" s="188">
        <v>30000</v>
      </c>
      <c r="Z31" s="188">
        <f t="shared" si="6"/>
        <v>30000</v>
      </c>
      <c r="AA31" s="198">
        <v>34000</v>
      </c>
      <c r="AB31" s="198">
        <v>34000</v>
      </c>
      <c r="AC31" s="196"/>
      <c r="AD31" s="88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</row>
    <row r="32" spans="1:256" ht="30" customHeight="1" x14ac:dyDescent="0.25">
      <c r="A32" s="197">
        <v>613000.56000000006</v>
      </c>
      <c r="B32" s="232" t="s">
        <v>16</v>
      </c>
      <c r="C32" s="194">
        <v>2000</v>
      </c>
      <c r="D32" s="187"/>
      <c r="E32" s="187">
        <v>879</v>
      </c>
      <c r="F32" s="194">
        <v>2000</v>
      </c>
      <c r="G32" s="188">
        <v>3500</v>
      </c>
      <c r="H32" s="195">
        <v>2790</v>
      </c>
      <c r="I32" s="188">
        <v>1053</v>
      </c>
      <c r="J32" s="189"/>
      <c r="K32" s="189">
        <f t="shared" si="1"/>
        <v>1404</v>
      </c>
      <c r="L32" s="189">
        <v>2505</v>
      </c>
      <c r="M32" s="189">
        <f t="shared" si="3"/>
        <v>1252.5</v>
      </c>
      <c r="N32" s="189">
        <v>3000</v>
      </c>
      <c r="O32" s="188">
        <v>3000</v>
      </c>
      <c r="P32" s="188">
        <f t="shared" si="8"/>
        <v>3757.5</v>
      </c>
      <c r="Q32" s="188">
        <f>O32</f>
        <v>3000</v>
      </c>
      <c r="R32" s="188">
        <v>1200</v>
      </c>
      <c r="S32" s="188">
        <f t="shared" si="7"/>
        <v>2400</v>
      </c>
      <c r="T32" s="188">
        <f t="shared" ref="T32:T33" si="9">Q32</f>
        <v>3000</v>
      </c>
      <c r="U32" s="188">
        <v>1200</v>
      </c>
      <c r="V32" s="190">
        <f t="shared" si="2"/>
        <v>1440</v>
      </c>
      <c r="W32" s="188"/>
      <c r="X32" s="188">
        <v>7043</v>
      </c>
      <c r="Y32" s="188">
        <v>7000</v>
      </c>
      <c r="Z32" s="188">
        <f t="shared" si="6"/>
        <v>7000</v>
      </c>
      <c r="AA32" s="198">
        <v>7000</v>
      </c>
      <c r="AB32" s="198">
        <v>7000</v>
      </c>
      <c r="AC32" s="196"/>
      <c r="AD32" s="88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</row>
    <row r="33" spans="1:256" ht="30" customHeight="1" x14ac:dyDescent="0.25">
      <c r="A33" s="197">
        <v>613000.78</v>
      </c>
      <c r="B33" s="232" t="s">
        <v>661</v>
      </c>
      <c r="C33" s="194">
        <v>0</v>
      </c>
      <c r="D33" s="187"/>
      <c r="E33" s="187">
        <f>3000+26121</f>
        <v>29121</v>
      </c>
      <c r="F33" s="194">
        <v>0</v>
      </c>
      <c r="G33" s="188">
        <v>0</v>
      </c>
      <c r="H33" s="195">
        <v>2056</v>
      </c>
      <c r="I33" s="188">
        <v>1218</v>
      </c>
      <c r="J33" s="189"/>
      <c r="K33" s="189">
        <f t="shared" si="1"/>
        <v>1624</v>
      </c>
      <c r="L33" s="189">
        <v>3086</v>
      </c>
      <c r="M33" s="189">
        <f t="shared" si="3"/>
        <v>1543</v>
      </c>
      <c r="N33" s="189">
        <v>2000</v>
      </c>
      <c r="O33" s="188">
        <v>3000</v>
      </c>
      <c r="P33" s="188">
        <f t="shared" si="8"/>
        <v>4629</v>
      </c>
      <c r="Q33" s="188">
        <f>O33</f>
        <v>3000</v>
      </c>
      <c r="R33" s="188">
        <v>1455</v>
      </c>
      <c r="S33" s="188">
        <f t="shared" si="7"/>
        <v>2910</v>
      </c>
      <c r="T33" s="188">
        <f t="shared" si="9"/>
        <v>3000</v>
      </c>
      <c r="U33" s="188">
        <v>1532</v>
      </c>
      <c r="V33" s="190">
        <f t="shared" si="2"/>
        <v>1838.4</v>
      </c>
      <c r="W33" s="188">
        <v>2000</v>
      </c>
      <c r="X33" s="188">
        <v>7043</v>
      </c>
      <c r="Y33" s="188">
        <v>7000</v>
      </c>
      <c r="Z33" s="188">
        <f t="shared" si="6"/>
        <v>7000</v>
      </c>
      <c r="AA33" s="198">
        <v>10000</v>
      </c>
      <c r="AB33" s="198">
        <v>10000</v>
      </c>
      <c r="AC33" s="196"/>
      <c r="AD33" s="88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</row>
    <row r="34" spans="1:256" ht="30" customHeight="1" x14ac:dyDescent="0.25">
      <c r="A34" s="193">
        <v>614000.11</v>
      </c>
      <c r="B34" s="232" t="s">
        <v>681</v>
      </c>
      <c r="C34" s="194">
        <v>90000</v>
      </c>
      <c r="D34" s="187"/>
      <c r="E34" s="187">
        <v>97145</v>
      </c>
      <c r="F34" s="194">
        <f>90000+10000</f>
        <v>100000</v>
      </c>
      <c r="G34" s="188">
        <v>104100</v>
      </c>
      <c r="H34" s="195">
        <v>76178</v>
      </c>
      <c r="I34" s="188">
        <v>82343</v>
      </c>
      <c r="J34" s="189"/>
      <c r="K34" s="189">
        <f t="shared" si="1"/>
        <v>109790.66666666667</v>
      </c>
      <c r="L34" s="189">
        <v>69709</v>
      </c>
      <c r="M34" s="189">
        <f t="shared" si="3"/>
        <v>34854.5</v>
      </c>
      <c r="N34" s="190">
        <v>103000</v>
      </c>
      <c r="O34" s="190">
        <v>103800</v>
      </c>
      <c r="P34" s="190">
        <f>M34+L34</f>
        <v>104563.5</v>
      </c>
      <c r="Q34" s="190">
        <f>O34*1.045</f>
        <v>108470.99999999999</v>
      </c>
      <c r="R34" s="190">
        <f>54580</f>
        <v>54580</v>
      </c>
      <c r="S34" s="190">
        <f>R34*2</f>
        <v>109160</v>
      </c>
      <c r="T34" s="190">
        <f>S34</f>
        <v>109160</v>
      </c>
      <c r="U34" s="190">
        <v>93162</v>
      </c>
      <c r="V34" s="190">
        <f t="shared" si="2"/>
        <v>111794.4</v>
      </c>
      <c r="W34" s="190">
        <v>109160</v>
      </c>
      <c r="X34" s="190">
        <v>93262</v>
      </c>
      <c r="Y34" s="190">
        <v>109000</v>
      </c>
      <c r="Z34" s="190">
        <v>112000</v>
      </c>
      <c r="AA34" s="191">
        <v>111000</v>
      </c>
      <c r="AB34" s="191">
        <v>95000</v>
      </c>
      <c r="AC34" s="196">
        <v>1</v>
      </c>
      <c r="AD34" s="88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</row>
    <row r="35" spans="1:256" ht="30" customHeight="1" x14ac:dyDescent="0.25">
      <c r="A35" s="193">
        <v>615000.11</v>
      </c>
      <c r="B35" s="232" t="s">
        <v>54</v>
      </c>
      <c r="C35" s="194">
        <v>340000</v>
      </c>
      <c r="D35" s="187"/>
      <c r="E35" s="187">
        <v>339637</v>
      </c>
      <c r="F35" s="194">
        <v>348000</v>
      </c>
      <c r="G35" s="188">
        <v>380500</v>
      </c>
      <c r="H35" s="195">
        <v>278416</v>
      </c>
      <c r="I35" s="188">
        <v>288579</v>
      </c>
      <c r="J35" s="189"/>
      <c r="K35" s="189">
        <f t="shared" si="1"/>
        <v>384772</v>
      </c>
      <c r="L35" s="189">
        <v>242197</v>
      </c>
      <c r="M35" s="189">
        <f t="shared" si="3"/>
        <v>121098.5</v>
      </c>
      <c r="N35" s="190">
        <v>380000</v>
      </c>
      <c r="O35" s="190">
        <v>370500</v>
      </c>
      <c r="P35" s="190">
        <f>M35+L35</f>
        <v>363295.5</v>
      </c>
      <c r="Q35" s="190">
        <f>O35*1.045</f>
        <v>387172.5</v>
      </c>
      <c r="R35" s="190">
        <f>194415.73*0.99</f>
        <v>192471.57270000002</v>
      </c>
      <c r="S35" s="190">
        <f>R35*2</f>
        <v>384943.14540000004</v>
      </c>
      <c r="T35" s="190">
        <f>S35</f>
        <v>384943.14540000004</v>
      </c>
      <c r="U35" s="190">
        <v>323004</v>
      </c>
      <c r="V35" s="190">
        <f t="shared" si="2"/>
        <v>387604.8</v>
      </c>
      <c r="W35" s="190">
        <v>384943</v>
      </c>
      <c r="X35" s="190">
        <v>322102</v>
      </c>
      <c r="Y35" s="190">
        <v>378000</v>
      </c>
      <c r="Z35" s="190">
        <v>385000</v>
      </c>
      <c r="AA35" s="191">
        <v>395000</v>
      </c>
      <c r="AB35" s="191">
        <v>386000</v>
      </c>
      <c r="AC35" s="196">
        <v>2</v>
      </c>
      <c r="AD35" s="88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</row>
    <row r="36" spans="1:256" ht="30" customHeight="1" x14ac:dyDescent="0.25">
      <c r="A36" s="197">
        <v>615000.51399999997</v>
      </c>
      <c r="B36" s="232" t="s">
        <v>436</v>
      </c>
      <c r="C36" s="194">
        <v>0</v>
      </c>
      <c r="D36" s="187"/>
      <c r="E36" s="187">
        <v>0</v>
      </c>
      <c r="F36" s="194">
        <v>0</v>
      </c>
      <c r="G36" s="199">
        <f>300000+15000</f>
        <v>315000</v>
      </c>
      <c r="H36" s="195">
        <v>0</v>
      </c>
      <c r="I36" s="188">
        <v>312156</v>
      </c>
      <c r="J36" s="189"/>
      <c r="K36" s="189">
        <v>312000</v>
      </c>
      <c r="L36" s="189">
        <v>425300</v>
      </c>
      <c r="M36" s="189">
        <f t="shared" si="3"/>
        <v>212650</v>
      </c>
      <c r="N36" s="189">
        <v>424700</v>
      </c>
      <c r="O36" s="188">
        <v>425300</v>
      </c>
      <c r="P36" s="188">
        <f>L36+M36</f>
        <v>637950</v>
      </c>
      <c r="Q36" s="188">
        <v>400000</v>
      </c>
      <c r="R36" s="188">
        <f>294400/2</f>
        <v>147200</v>
      </c>
      <c r="S36" s="188">
        <v>300000</v>
      </c>
      <c r="T36" s="188">
        <v>300000</v>
      </c>
      <c r="U36" s="188">
        <v>294400</v>
      </c>
      <c r="V36" s="190">
        <f t="shared" si="2"/>
        <v>353280</v>
      </c>
      <c r="W36" s="188">
        <v>420000</v>
      </c>
      <c r="X36" s="188">
        <v>472800</v>
      </c>
      <c r="Y36" s="188">
        <v>700000</v>
      </c>
      <c r="Z36" s="189">
        <f t="shared" si="6"/>
        <v>700000</v>
      </c>
      <c r="AA36" s="205">
        <v>300000</v>
      </c>
      <c r="AB36" s="205">
        <v>250000</v>
      </c>
      <c r="AC36" s="196"/>
      <c r="AD36" s="88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</row>
    <row r="37" spans="1:256" ht="30" customHeight="1" x14ac:dyDescent="0.25">
      <c r="A37" s="197">
        <v>615000.52099999995</v>
      </c>
      <c r="B37" s="232" t="s">
        <v>55</v>
      </c>
      <c r="C37" s="194">
        <v>2500</v>
      </c>
      <c r="D37" s="187"/>
      <c r="E37" s="187">
        <v>1570</v>
      </c>
      <c r="F37" s="194">
        <v>3000</v>
      </c>
      <c r="G37" s="188">
        <v>1500</v>
      </c>
      <c r="H37" s="195">
        <v>0</v>
      </c>
      <c r="I37" s="188">
        <v>0</v>
      </c>
      <c r="J37" s="189"/>
      <c r="K37" s="189">
        <f t="shared" si="1"/>
        <v>0</v>
      </c>
      <c r="L37" s="189"/>
      <c r="M37" s="189">
        <f t="shared" si="3"/>
        <v>0</v>
      </c>
      <c r="N37" s="189">
        <v>3000</v>
      </c>
      <c r="O37" s="188">
        <f>M37+L37</f>
        <v>0</v>
      </c>
      <c r="P37" s="188">
        <f>L37+M37</f>
        <v>0</v>
      </c>
      <c r="Q37" s="188">
        <f>O37</f>
        <v>0</v>
      </c>
      <c r="R37" s="188">
        <v>0</v>
      </c>
      <c r="S37" s="188">
        <f>R37*2</f>
        <v>0</v>
      </c>
      <c r="T37" s="188">
        <v>10500</v>
      </c>
      <c r="U37" s="188">
        <v>11420</v>
      </c>
      <c r="V37" s="190">
        <f t="shared" si="2"/>
        <v>13704</v>
      </c>
      <c r="W37" s="188">
        <v>6500</v>
      </c>
      <c r="X37" s="188">
        <v>2940</v>
      </c>
      <c r="Y37" s="188">
        <v>4000</v>
      </c>
      <c r="Z37" s="188">
        <f t="shared" si="6"/>
        <v>4000</v>
      </c>
      <c r="AA37" s="198"/>
      <c r="AB37" s="198"/>
      <c r="AC37" s="196"/>
      <c r="AD37" s="88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</row>
    <row r="38" spans="1:256" ht="30" customHeight="1" x14ac:dyDescent="0.25">
      <c r="A38" s="197">
        <v>615000.54</v>
      </c>
      <c r="B38" s="232" t="s">
        <v>662</v>
      </c>
      <c r="C38" s="194">
        <v>8000</v>
      </c>
      <c r="D38" s="187"/>
      <c r="E38" s="187">
        <v>8038</v>
      </c>
      <c r="F38" s="194">
        <v>8000</v>
      </c>
      <c r="G38" s="188">
        <v>6000</v>
      </c>
      <c r="H38" s="195">
        <v>4052</v>
      </c>
      <c r="I38" s="188">
        <v>8795</v>
      </c>
      <c r="J38" s="189"/>
      <c r="K38" s="189">
        <f t="shared" si="1"/>
        <v>11726.666666666666</v>
      </c>
      <c r="L38" s="189">
        <v>11268</v>
      </c>
      <c r="M38" s="189">
        <f t="shared" si="3"/>
        <v>5634</v>
      </c>
      <c r="N38" s="189">
        <v>12000</v>
      </c>
      <c r="O38" s="188">
        <v>13300</v>
      </c>
      <c r="P38" s="188">
        <f>L38+M38</f>
        <v>16902</v>
      </c>
      <c r="Q38" s="188">
        <f>O38</f>
        <v>13300</v>
      </c>
      <c r="R38" s="188">
        <v>2644</v>
      </c>
      <c r="S38" s="188">
        <f>R38*2</f>
        <v>5288</v>
      </c>
      <c r="T38" s="188">
        <v>10000</v>
      </c>
      <c r="U38" s="188">
        <v>15226</v>
      </c>
      <c r="V38" s="190">
        <f t="shared" si="2"/>
        <v>18271.2</v>
      </c>
      <c r="W38" s="188">
        <v>6000</v>
      </c>
      <c r="X38" s="188">
        <v>35516</v>
      </c>
      <c r="Y38" s="188">
        <v>42000</v>
      </c>
      <c r="Z38" s="188">
        <v>10000</v>
      </c>
      <c r="AA38" s="198">
        <v>33000</v>
      </c>
      <c r="AB38" s="198">
        <v>33000</v>
      </c>
      <c r="AC38" s="196"/>
      <c r="AD38" s="88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</row>
    <row r="39" spans="1:256" ht="30" customHeight="1" x14ac:dyDescent="0.25">
      <c r="A39" s="193">
        <v>617000.11</v>
      </c>
      <c r="B39" s="232" t="s">
        <v>376</v>
      </c>
      <c r="C39" s="194">
        <v>400000</v>
      </c>
      <c r="D39" s="187"/>
      <c r="E39" s="187">
        <v>411686</v>
      </c>
      <c r="F39" s="194">
        <f>413000+5000</f>
        <v>418000</v>
      </c>
      <c r="G39" s="188">
        <v>458430</v>
      </c>
      <c r="H39" s="195">
        <v>335470</v>
      </c>
      <c r="I39" s="188">
        <v>345686</v>
      </c>
      <c r="J39" s="189"/>
      <c r="K39" s="189">
        <f t="shared" si="1"/>
        <v>460914.66666666669</v>
      </c>
      <c r="L39" s="189">
        <v>314667</v>
      </c>
      <c r="M39" s="189">
        <f t="shared" si="3"/>
        <v>157333.5</v>
      </c>
      <c r="N39" s="190">
        <v>457000</v>
      </c>
      <c r="O39" s="190">
        <v>496000</v>
      </c>
      <c r="P39" s="190">
        <f>M39+L39</f>
        <v>472000.5</v>
      </c>
      <c r="Q39" s="190">
        <f>O39*1.045</f>
        <v>518319.99999999994</v>
      </c>
      <c r="R39" s="190">
        <f>258523.31*0.99</f>
        <v>255938.07689999999</v>
      </c>
      <c r="S39" s="190">
        <f>R39*2</f>
        <v>511876.15379999997</v>
      </c>
      <c r="T39" s="190">
        <f>S39+7000</f>
        <v>518876.15379999997</v>
      </c>
      <c r="U39" s="190">
        <v>423631</v>
      </c>
      <c r="V39" s="190">
        <f t="shared" si="2"/>
        <v>508357.2</v>
      </c>
      <c r="W39" s="190">
        <v>562980</v>
      </c>
      <c r="X39" s="190">
        <v>428124</v>
      </c>
      <c r="Y39" s="190">
        <v>511000</v>
      </c>
      <c r="Z39" s="190">
        <f>520000+130000</f>
        <v>650000</v>
      </c>
      <c r="AA39" s="191">
        <v>573000</v>
      </c>
      <c r="AB39" s="191">
        <v>662000</v>
      </c>
      <c r="AC39" s="196">
        <f>1+0.75</f>
        <v>1.75</v>
      </c>
      <c r="AD39" s="88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</row>
    <row r="40" spans="1:256" ht="30" customHeight="1" x14ac:dyDescent="0.25">
      <c r="A40" s="197">
        <v>617000.52099999995</v>
      </c>
      <c r="B40" s="232" t="s">
        <v>437</v>
      </c>
      <c r="C40" s="194"/>
      <c r="D40" s="187"/>
      <c r="E40" s="187"/>
      <c r="F40" s="194"/>
      <c r="G40" s="188">
        <v>3000</v>
      </c>
      <c r="H40" s="188">
        <v>0</v>
      </c>
      <c r="I40" s="188">
        <v>2450</v>
      </c>
      <c r="J40" s="189"/>
      <c r="K40" s="189">
        <f t="shared" si="1"/>
        <v>3266.6666666666665</v>
      </c>
      <c r="L40" s="189">
        <v>1280</v>
      </c>
      <c r="M40" s="189">
        <f t="shared" si="3"/>
        <v>640</v>
      </c>
      <c r="N40" s="189">
        <v>3000</v>
      </c>
      <c r="O40" s="188">
        <v>3000</v>
      </c>
      <c r="P40" s="188">
        <f t="shared" ref="P40:P42" si="10">L40+M40</f>
        <v>1920</v>
      </c>
      <c r="Q40" s="188">
        <f>O40</f>
        <v>3000</v>
      </c>
      <c r="R40" s="188">
        <v>5480</v>
      </c>
      <c r="S40" s="188">
        <f>R40*2</f>
        <v>10960</v>
      </c>
      <c r="T40" s="188">
        <v>10960</v>
      </c>
      <c r="U40" s="188">
        <v>5480</v>
      </c>
      <c r="V40" s="190">
        <f t="shared" si="2"/>
        <v>6576</v>
      </c>
      <c r="W40" s="188">
        <v>6000</v>
      </c>
      <c r="X40" s="188">
        <v>6550</v>
      </c>
      <c r="Y40" s="188">
        <v>8000</v>
      </c>
      <c r="Z40" s="188">
        <f t="shared" ref="Z40:Z43" si="11">Y40</f>
        <v>8000</v>
      </c>
      <c r="AA40" s="198">
        <v>2000</v>
      </c>
      <c r="AB40" s="198">
        <v>2000</v>
      </c>
      <c r="AC40" s="196"/>
      <c r="AD40" s="88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</row>
    <row r="41" spans="1:256" s="50" customFormat="1" ht="30" customHeight="1" x14ac:dyDescent="0.25">
      <c r="A41" s="197">
        <v>617000.58100000001</v>
      </c>
      <c r="B41" s="233" t="s">
        <v>663</v>
      </c>
      <c r="C41" s="202">
        <v>150000</v>
      </c>
      <c r="D41" s="203"/>
      <c r="E41" s="203">
        <f>338784-150000</f>
        <v>188784</v>
      </c>
      <c r="F41" s="202">
        <v>300000</v>
      </c>
      <c r="G41" s="189">
        <f>150000+100000</f>
        <v>250000</v>
      </c>
      <c r="H41" s="204">
        <v>122673</v>
      </c>
      <c r="I41" s="189">
        <v>350000</v>
      </c>
      <c r="J41" s="189"/>
      <c r="K41" s="189">
        <v>350000</v>
      </c>
      <c r="L41" s="189">
        <v>453318</v>
      </c>
      <c r="M41" s="189">
        <f t="shared" si="3"/>
        <v>226659</v>
      </c>
      <c r="N41" s="189">
        <v>350000</v>
      </c>
      <c r="O41" s="189">
        <v>653000</v>
      </c>
      <c r="P41" s="189">
        <f t="shared" si="10"/>
        <v>679977</v>
      </c>
      <c r="Q41" s="189">
        <f>400000+200000</f>
        <v>600000</v>
      </c>
      <c r="R41" s="189">
        <f>369556-150000</f>
        <v>219556</v>
      </c>
      <c r="S41" s="189">
        <f>R41*2+200000</f>
        <v>639112</v>
      </c>
      <c r="T41" s="189">
        <v>650000</v>
      </c>
      <c r="U41" s="189">
        <v>610999</v>
      </c>
      <c r="V41" s="189">
        <f t="shared" si="2"/>
        <v>733198.8</v>
      </c>
      <c r="W41" s="189">
        <v>650000</v>
      </c>
      <c r="X41" s="189">
        <v>267055</v>
      </c>
      <c r="Y41" s="189">
        <v>320000</v>
      </c>
      <c r="Z41" s="189">
        <f>Y41-120000</f>
        <v>200000</v>
      </c>
      <c r="AA41" s="205">
        <v>650000</v>
      </c>
      <c r="AB41" s="205">
        <v>485000</v>
      </c>
      <c r="AC41" s="196"/>
      <c r="AD41" s="89" t="s">
        <v>699</v>
      </c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6"/>
      <c r="CO41" s="66"/>
      <c r="CP41" s="66"/>
      <c r="CQ41" s="66"/>
      <c r="CR41" s="66"/>
      <c r="CS41" s="66"/>
      <c r="CT41" s="66"/>
      <c r="CU41" s="66"/>
      <c r="CV41" s="66"/>
      <c r="CW41" s="66"/>
      <c r="CX41" s="66"/>
      <c r="CY41" s="66"/>
      <c r="CZ41" s="66"/>
      <c r="DA41" s="66"/>
      <c r="DB41" s="66"/>
      <c r="DC41" s="66"/>
      <c r="DD41" s="66"/>
      <c r="DE41" s="66"/>
      <c r="DF41" s="66"/>
      <c r="DG41" s="66"/>
      <c r="DH41" s="66"/>
      <c r="DI41" s="66"/>
      <c r="DJ41" s="66"/>
      <c r="DK41" s="66"/>
      <c r="DL41" s="66"/>
      <c r="DM41" s="66"/>
      <c r="DN41" s="66"/>
      <c r="DO41" s="66"/>
      <c r="DP41" s="66"/>
      <c r="DQ41" s="66"/>
      <c r="DR41" s="66"/>
      <c r="DS41" s="66"/>
      <c r="DT41" s="66"/>
      <c r="DU41" s="66"/>
      <c r="DV41" s="66"/>
      <c r="DW41" s="66"/>
      <c r="DX41" s="66"/>
      <c r="DY41" s="66"/>
      <c r="DZ41" s="66"/>
      <c r="EA41" s="66"/>
      <c r="EB41" s="66"/>
      <c r="EC41" s="66"/>
      <c r="ED41" s="66"/>
      <c r="EE41" s="66"/>
      <c r="EF41" s="66"/>
      <c r="EG41" s="66"/>
      <c r="EH41" s="66"/>
      <c r="EI41" s="66"/>
      <c r="EJ41" s="66"/>
      <c r="EK41" s="66"/>
      <c r="EL41" s="66"/>
      <c r="EM41" s="66"/>
      <c r="EN41" s="66"/>
      <c r="EO41" s="66"/>
      <c r="EP41" s="66"/>
      <c r="EQ41" s="66"/>
      <c r="ER41" s="66"/>
      <c r="ES41" s="66"/>
      <c r="ET41" s="66"/>
      <c r="EU41" s="66"/>
      <c r="EV41" s="66"/>
      <c r="EW41" s="66"/>
      <c r="EX41" s="66"/>
      <c r="EY41" s="66"/>
      <c r="EZ41" s="66"/>
      <c r="FA41" s="66"/>
      <c r="FB41" s="66"/>
      <c r="FC41" s="66"/>
      <c r="FD41" s="66"/>
      <c r="FE41" s="66"/>
      <c r="FF41" s="66"/>
      <c r="FG41" s="66"/>
      <c r="FH41" s="66"/>
      <c r="FI41" s="66"/>
      <c r="FJ41" s="66"/>
      <c r="FK41" s="66"/>
      <c r="FL41" s="66"/>
      <c r="FM41" s="66"/>
      <c r="FN41" s="66"/>
      <c r="FO41" s="66"/>
      <c r="FP41" s="66"/>
      <c r="FQ41" s="66"/>
      <c r="FR41" s="66"/>
      <c r="FS41" s="66"/>
      <c r="FT41" s="66"/>
      <c r="FU41" s="66"/>
      <c r="FV41" s="66"/>
      <c r="FW41" s="66"/>
      <c r="FX41" s="66"/>
      <c r="FY41" s="66"/>
      <c r="FZ41" s="66"/>
      <c r="GA41" s="66"/>
      <c r="GB41" s="66"/>
      <c r="GC41" s="66"/>
      <c r="GD41" s="66"/>
      <c r="GE41" s="66"/>
      <c r="GF41" s="66"/>
      <c r="GG41" s="66"/>
      <c r="GH41" s="66"/>
      <c r="GI41" s="66"/>
      <c r="GJ41" s="66"/>
      <c r="GK41" s="66"/>
      <c r="GL41" s="66"/>
      <c r="GM41" s="66"/>
      <c r="GN41" s="66"/>
      <c r="GO41" s="66"/>
      <c r="GP41" s="66"/>
      <c r="GQ41" s="66"/>
      <c r="GR41" s="66"/>
      <c r="GS41" s="66"/>
      <c r="GT41" s="66"/>
      <c r="GU41" s="66"/>
      <c r="GV41" s="66"/>
      <c r="GW41" s="66"/>
      <c r="GX41" s="66"/>
      <c r="GY41" s="66"/>
      <c r="GZ41" s="66"/>
      <c r="HA41" s="66"/>
      <c r="HB41" s="66"/>
      <c r="HC41" s="66"/>
      <c r="HD41" s="66"/>
      <c r="HE41" s="66"/>
      <c r="HF41" s="66"/>
      <c r="HG41" s="66"/>
      <c r="HH41" s="66"/>
      <c r="HI41" s="66"/>
      <c r="HJ41" s="66"/>
      <c r="HK41" s="66"/>
      <c r="HL41" s="66"/>
      <c r="HM41" s="66"/>
      <c r="HN41" s="66"/>
      <c r="HO41" s="66"/>
      <c r="HP41" s="66"/>
      <c r="HQ41" s="66"/>
      <c r="HR41" s="66"/>
      <c r="HS41" s="66"/>
      <c r="HT41" s="66"/>
      <c r="HU41" s="66"/>
      <c r="HV41" s="66"/>
      <c r="HW41" s="66"/>
      <c r="HX41" s="66"/>
      <c r="HY41" s="66"/>
      <c r="HZ41" s="66"/>
      <c r="IA41" s="66"/>
      <c r="IB41" s="66"/>
      <c r="IC41" s="66"/>
      <c r="ID41" s="66"/>
      <c r="IE41" s="66"/>
      <c r="IF41" s="66"/>
      <c r="IG41" s="66"/>
      <c r="IH41" s="66"/>
      <c r="II41" s="66"/>
      <c r="IJ41" s="66"/>
      <c r="IK41" s="66"/>
      <c r="IL41" s="66"/>
      <c r="IM41" s="66"/>
      <c r="IN41" s="66"/>
      <c r="IO41" s="66"/>
      <c r="IP41" s="66"/>
      <c r="IQ41" s="66"/>
      <c r="IR41" s="66"/>
      <c r="IS41" s="66"/>
      <c r="IT41" s="66"/>
      <c r="IU41" s="66"/>
      <c r="IV41" s="66"/>
    </row>
    <row r="42" spans="1:256" ht="30" customHeight="1" x14ac:dyDescent="0.25">
      <c r="A42" s="197">
        <v>617000.78</v>
      </c>
      <c r="B42" s="232" t="s">
        <v>438</v>
      </c>
      <c r="C42" s="194"/>
      <c r="D42" s="187"/>
      <c r="E42" s="187"/>
      <c r="F42" s="194"/>
      <c r="G42" s="199">
        <f>4000+10000</f>
        <v>14000</v>
      </c>
      <c r="H42" s="195">
        <v>0</v>
      </c>
      <c r="I42" s="188">
        <v>812</v>
      </c>
      <c r="J42" s="189"/>
      <c r="K42" s="189">
        <f t="shared" si="1"/>
        <v>1082.6666666666667</v>
      </c>
      <c r="L42" s="189">
        <v>590</v>
      </c>
      <c r="M42" s="189">
        <f t="shared" si="3"/>
        <v>295</v>
      </c>
      <c r="N42" s="189">
        <v>2000</v>
      </c>
      <c r="O42" s="188">
        <v>2000</v>
      </c>
      <c r="P42" s="188">
        <f t="shared" si="10"/>
        <v>885</v>
      </c>
      <c r="Q42" s="188">
        <f>O42</f>
        <v>2000</v>
      </c>
      <c r="R42" s="188">
        <v>1300</v>
      </c>
      <c r="S42" s="188">
        <f>R42*2</f>
        <v>2600</v>
      </c>
      <c r="T42" s="188">
        <v>2600</v>
      </c>
      <c r="U42" s="188">
        <v>6171</v>
      </c>
      <c r="V42" s="190">
        <f t="shared" si="2"/>
        <v>7405.2</v>
      </c>
      <c r="W42" s="188">
        <v>4000</v>
      </c>
      <c r="X42" s="188">
        <v>3728</v>
      </c>
      <c r="Y42" s="188">
        <v>4500</v>
      </c>
      <c r="Z42" s="188">
        <f t="shared" si="11"/>
        <v>4500</v>
      </c>
      <c r="AA42" s="198">
        <v>5000</v>
      </c>
      <c r="AB42" s="198">
        <v>5000</v>
      </c>
      <c r="AC42" s="196"/>
      <c r="AD42" s="88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</row>
    <row r="43" spans="1:256" ht="30" customHeight="1" x14ac:dyDescent="0.25">
      <c r="A43" s="197">
        <v>619000.75</v>
      </c>
      <c r="B43" s="232" t="s">
        <v>451</v>
      </c>
      <c r="C43" s="194"/>
      <c r="D43" s="187"/>
      <c r="E43" s="187"/>
      <c r="F43" s="194"/>
      <c r="G43" s="188"/>
      <c r="H43" s="195"/>
      <c r="I43" s="188"/>
      <c r="J43" s="189"/>
      <c r="K43" s="189"/>
      <c r="L43" s="189"/>
      <c r="M43" s="189"/>
      <c r="N43" s="189"/>
      <c r="O43" s="188"/>
      <c r="P43" s="188"/>
      <c r="Q43" s="206">
        <v>700000</v>
      </c>
      <c r="R43" s="206">
        <v>84277</v>
      </c>
      <c r="S43" s="200">
        <f>R43*2</f>
        <v>168554</v>
      </c>
      <c r="T43" s="207">
        <v>350000</v>
      </c>
      <c r="U43" s="208">
        <v>477140</v>
      </c>
      <c r="V43" s="209">
        <f t="shared" si="2"/>
        <v>572568</v>
      </c>
      <c r="W43" s="207">
        <v>555000</v>
      </c>
      <c r="X43" s="207">
        <v>310441</v>
      </c>
      <c r="Y43" s="188">
        <v>375000</v>
      </c>
      <c r="Z43" s="188">
        <f t="shared" si="11"/>
        <v>375000</v>
      </c>
      <c r="AA43" s="198">
        <v>320000</v>
      </c>
      <c r="AB43" s="198">
        <v>340000</v>
      </c>
      <c r="AC43" s="196"/>
      <c r="AD43" s="89" t="s">
        <v>699</v>
      </c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</row>
    <row r="44" spans="1:256" ht="30" customHeight="1" x14ac:dyDescent="0.25">
      <c r="A44" s="210"/>
      <c r="B44" s="275" t="s">
        <v>2</v>
      </c>
      <c r="C44" s="211">
        <f t="shared" ref="C44:P44" si="12">SUM(C4:C42)</f>
        <v>5595200</v>
      </c>
      <c r="D44" s="211">
        <f t="shared" si="12"/>
        <v>0</v>
      </c>
      <c r="E44" s="211">
        <f t="shared" si="12"/>
        <v>4249772</v>
      </c>
      <c r="F44" s="211">
        <f t="shared" si="12"/>
        <v>4703000</v>
      </c>
      <c r="G44" s="212">
        <f t="shared" si="12"/>
        <v>5570940</v>
      </c>
      <c r="H44" s="212">
        <f t="shared" si="12"/>
        <v>3777097</v>
      </c>
      <c r="I44" s="212">
        <f t="shared" si="12"/>
        <v>4334765</v>
      </c>
      <c r="J44" s="213">
        <f t="shared" si="12"/>
        <v>0</v>
      </c>
      <c r="K44" s="213">
        <f t="shared" si="12"/>
        <v>5558812.0000000009</v>
      </c>
      <c r="L44" s="213">
        <f t="shared" si="12"/>
        <v>4089944</v>
      </c>
      <c r="M44" s="213">
        <f t="shared" si="12"/>
        <v>2704255.5</v>
      </c>
      <c r="N44" s="212">
        <f t="shared" si="12"/>
        <v>5892700</v>
      </c>
      <c r="O44" s="212">
        <f t="shared" si="12"/>
        <v>6515060</v>
      </c>
      <c r="P44" s="212">
        <f t="shared" si="12"/>
        <v>6794199.5</v>
      </c>
      <c r="Q44" s="212">
        <f t="shared" ref="Q44:AC44" si="13">SUM(Q4:Q43)</f>
        <v>7767090</v>
      </c>
      <c r="R44" s="212">
        <f t="shared" si="13"/>
        <v>3313040.5041000005</v>
      </c>
      <c r="S44" s="212">
        <f t="shared" si="13"/>
        <v>6831681.008200001</v>
      </c>
      <c r="T44" s="212">
        <f t="shared" si="13"/>
        <v>7245463.008200001</v>
      </c>
      <c r="U44" s="212">
        <f t="shared" si="13"/>
        <v>6129326</v>
      </c>
      <c r="V44" s="212">
        <f t="shared" si="13"/>
        <v>7355191.2000000011</v>
      </c>
      <c r="W44" s="212">
        <f t="shared" si="13"/>
        <v>8971575</v>
      </c>
      <c r="X44" s="212">
        <f t="shared" si="13"/>
        <v>6560707.333333333</v>
      </c>
      <c r="Y44" s="212">
        <f t="shared" si="13"/>
        <v>8014500</v>
      </c>
      <c r="Z44" s="212">
        <f t="shared" si="13"/>
        <v>8266500</v>
      </c>
      <c r="AA44" s="212">
        <f t="shared" si="13"/>
        <v>8022600</v>
      </c>
      <c r="AB44" s="211">
        <f t="shared" si="13"/>
        <v>8193000</v>
      </c>
      <c r="AC44" s="212">
        <f t="shared" si="13"/>
        <v>18.45</v>
      </c>
      <c r="AD44" s="88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</row>
    <row r="45" spans="1:256" ht="30" customHeight="1" x14ac:dyDescent="0.25">
      <c r="A45" s="193">
        <v>621100.11</v>
      </c>
      <c r="B45" s="232" t="s">
        <v>17</v>
      </c>
      <c r="C45" s="202">
        <v>500000</v>
      </c>
      <c r="D45" s="187"/>
      <c r="E45" s="187">
        <v>515132</v>
      </c>
      <c r="F45" s="202">
        <f>515500+25000</f>
        <v>540500</v>
      </c>
      <c r="G45" s="188">
        <v>523000</v>
      </c>
      <c r="H45" s="204">
        <v>382687</v>
      </c>
      <c r="I45" s="188">
        <v>411672</v>
      </c>
      <c r="J45" s="189"/>
      <c r="K45" s="189">
        <f t="shared" si="1"/>
        <v>548896</v>
      </c>
      <c r="L45" s="189">
        <v>497580</v>
      </c>
      <c r="M45" s="189">
        <f>L45/8*4</f>
        <v>248790</v>
      </c>
      <c r="N45" s="190">
        <v>539000</v>
      </c>
      <c r="O45" s="190">
        <v>581000</v>
      </c>
      <c r="P45" s="190">
        <f>M45+L45</f>
        <v>746370</v>
      </c>
      <c r="Q45" s="190">
        <v>609000</v>
      </c>
      <c r="R45" s="190">
        <f>298709*0.99</f>
        <v>295721.90999999997</v>
      </c>
      <c r="S45" s="190">
        <v>609000</v>
      </c>
      <c r="T45" s="190">
        <f>S45</f>
        <v>609000</v>
      </c>
      <c r="U45" s="190">
        <v>507679</v>
      </c>
      <c r="V45" s="190">
        <f t="shared" si="2"/>
        <v>609214.80000000005</v>
      </c>
      <c r="W45" s="190">
        <v>609000</v>
      </c>
      <c r="X45" s="190">
        <v>523729</v>
      </c>
      <c r="Y45" s="190">
        <v>624000</v>
      </c>
      <c r="Z45" s="190">
        <v>630000</v>
      </c>
      <c r="AA45" s="191">
        <v>646000</v>
      </c>
      <c r="AB45" s="191">
        <v>660000</v>
      </c>
      <c r="AC45" s="196">
        <v>1</v>
      </c>
      <c r="AD45" s="88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</row>
    <row r="46" spans="1:256" ht="30" customHeight="1" x14ac:dyDescent="0.25">
      <c r="A46" s="197">
        <v>621100.52099999995</v>
      </c>
      <c r="B46" s="232" t="s">
        <v>405</v>
      </c>
      <c r="C46" s="194">
        <v>10000</v>
      </c>
      <c r="D46" s="187"/>
      <c r="E46" s="187">
        <v>11000</v>
      </c>
      <c r="F46" s="194">
        <v>18000</v>
      </c>
      <c r="G46" s="189">
        <v>20000</v>
      </c>
      <c r="H46" s="195">
        <v>14820</v>
      </c>
      <c r="I46" s="188">
        <v>12160</v>
      </c>
      <c r="J46" s="189"/>
      <c r="K46" s="189">
        <f t="shared" si="1"/>
        <v>16213.333333333334</v>
      </c>
      <c r="L46" s="189">
        <v>16425</v>
      </c>
      <c r="M46" s="189">
        <f t="shared" ref="M46:M61" si="14">L46/8*4</f>
        <v>8212.5</v>
      </c>
      <c r="N46" s="189">
        <v>20000</v>
      </c>
      <c r="O46" s="188">
        <v>20000</v>
      </c>
      <c r="P46" s="188">
        <f t="shared" ref="P46:P51" si="15">L46+M46</f>
        <v>24637.5</v>
      </c>
      <c r="Q46" s="188">
        <f t="shared" ref="Q46:Q51" si="16">O46</f>
        <v>20000</v>
      </c>
      <c r="R46" s="188">
        <v>15788</v>
      </c>
      <c r="S46" s="188">
        <f t="shared" ref="S46:S51" si="17">R46*2</f>
        <v>31576</v>
      </c>
      <c r="T46" s="188">
        <v>31576</v>
      </c>
      <c r="U46" s="188">
        <v>18202</v>
      </c>
      <c r="V46" s="190">
        <f t="shared" si="2"/>
        <v>21842.400000000001</v>
      </c>
      <c r="W46" s="188">
        <v>12000</v>
      </c>
      <c r="X46" s="188">
        <v>5690</v>
      </c>
      <c r="Y46" s="188">
        <v>10000</v>
      </c>
      <c r="Z46" s="188">
        <f t="shared" ref="Z46:Z51" si="18">Y46</f>
        <v>10000</v>
      </c>
      <c r="AA46" s="198">
        <v>9000</v>
      </c>
      <c r="AB46" s="198">
        <v>9000</v>
      </c>
      <c r="AC46" s="196"/>
      <c r="AD46" s="88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</row>
    <row r="47" spans="1:256" ht="30" customHeight="1" x14ac:dyDescent="0.25">
      <c r="A47" s="197">
        <v>621100.54</v>
      </c>
      <c r="B47" s="232" t="s">
        <v>18</v>
      </c>
      <c r="C47" s="194">
        <v>30000</v>
      </c>
      <c r="D47" s="187"/>
      <c r="E47" s="187">
        <v>23550</v>
      </c>
      <c r="F47" s="194">
        <v>25000</v>
      </c>
      <c r="G47" s="189">
        <v>28000</v>
      </c>
      <c r="H47" s="195">
        <v>20644</v>
      </c>
      <c r="I47" s="188">
        <v>16009</v>
      </c>
      <c r="J47" s="189"/>
      <c r="K47" s="189">
        <f t="shared" si="1"/>
        <v>21345.333333333332</v>
      </c>
      <c r="L47" s="189">
        <v>10872</v>
      </c>
      <c r="M47" s="189">
        <f t="shared" si="14"/>
        <v>5436</v>
      </c>
      <c r="N47" s="189">
        <v>25000</v>
      </c>
      <c r="O47" s="188">
        <v>25000</v>
      </c>
      <c r="P47" s="188">
        <f t="shared" si="15"/>
        <v>16308</v>
      </c>
      <c r="Q47" s="188">
        <f t="shared" si="16"/>
        <v>25000</v>
      </c>
      <c r="R47" s="188">
        <v>1479</v>
      </c>
      <c r="S47" s="188">
        <f t="shared" si="17"/>
        <v>2958</v>
      </c>
      <c r="T47" s="188">
        <v>12000</v>
      </c>
      <c r="U47" s="188">
        <v>4629</v>
      </c>
      <c r="V47" s="190">
        <f t="shared" si="2"/>
        <v>5554.8</v>
      </c>
      <c r="W47" s="188">
        <v>6000</v>
      </c>
      <c r="X47" s="188">
        <v>6603</v>
      </c>
      <c r="Y47" s="188">
        <v>8000</v>
      </c>
      <c r="Z47" s="188">
        <f t="shared" si="18"/>
        <v>8000</v>
      </c>
      <c r="AA47" s="198">
        <v>5000</v>
      </c>
      <c r="AB47" s="198">
        <v>5000</v>
      </c>
      <c r="AC47" s="196"/>
      <c r="AD47" s="88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</row>
    <row r="48" spans="1:256" ht="30" customHeight="1" x14ac:dyDescent="0.25">
      <c r="A48" s="197">
        <v>621100.56000000006</v>
      </c>
      <c r="B48" s="232" t="s">
        <v>19</v>
      </c>
      <c r="C48" s="194">
        <v>2000</v>
      </c>
      <c r="D48" s="187"/>
      <c r="E48" s="187">
        <v>1565</v>
      </c>
      <c r="F48" s="194">
        <v>2000</v>
      </c>
      <c r="G48" s="189">
        <f>3000-1000</f>
        <v>2000</v>
      </c>
      <c r="H48" s="195">
        <v>0</v>
      </c>
      <c r="I48" s="188">
        <v>918</v>
      </c>
      <c r="J48" s="189"/>
      <c r="K48" s="189">
        <f t="shared" si="1"/>
        <v>1224</v>
      </c>
      <c r="L48" s="189">
        <v>603</v>
      </c>
      <c r="M48" s="189">
        <f t="shared" si="14"/>
        <v>301.5</v>
      </c>
      <c r="N48" s="189">
        <v>2000</v>
      </c>
      <c r="O48" s="188">
        <v>2000</v>
      </c>
      <c r="P48" s="188">
        <f t="shared" si="15"/>
        <v>904.5</v>
      </c>
      <c r="Q48" s="188">
        <f t="shared" si="16"/>
        <v>2000</v>
      </c>
      <c r="R48" s="188">
        <v>0</v>
      </c>
      <c r="S48" s="188">
        <f t="shared" si="17"/>
        <v>0</v>
      </c>
      <c r="T48" s="188">
        <f>Q48</f>
        <v>2000</v>
      </c>
      <c r="U48" s="188"/>
      <c r="V48" s="190">
        <f t="shared" si="2"/>
        <v>0</v>
      </c>
      <c r="W48" s="188">
        <v>2000</v>
      </c>
      <c r="X48" s="188">
        <v>1725</v>
      </c>
      <c r="Y48" s="188">
        <v>2000</v>
      </c>
      <c r="Z48" s="188">
        <f t="shared" si="18"/>
        <v>2000</v>
      </c>
      <c r="AA48" s="198">
        <v>2000</v>
      </c>
      <c r="AB48" s="198">
        <v>2000</v>
      </c>
      <c r="AC48" s="196"/>
      <c r="AD48" s="88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</row>
    <row r="49" spans="1:256" ht="30" customHeight="1" x14ac:dyDescent="0.25">
      <c r="A49" s="197">
        <v>621100.56999999995</v>
      </c>
      <c r="B49" s="232" t="s">
        <v>264</v>
      </c>
      <c r="C49" s="194">
        <v>460000</v>
      </c>
      <c r="D49" s="187"/>
      <c r="E49" s="187">
        <v>672000</v>
      </c>
      <c r="F49" s="194">
        <f>336000*2</f>
        <v>672000</v>
      </c>
      <c r="G49" s="199">
        <f>480000-80000+80000</f>
        <v>480000</v>
      </c>
      <c r="H49" s="195">
        <f>464672+15000</f>
        <v>479672</v>
      </c>
      <c r="I49" s="188">
        <v>373581</v>
      </c>
      <c r="J49" s="189"/>
      <c r="K49" s="189">
        <v>480000</v>
      </c>
      <c r="L49" s="189">
        <v>614000</v>
      </c>
      <c r="M49" s="189">
        <v>240000</v>
      </c>
      <c r="N49" s="189">
        <v>400000</v>
      </c>
      <c r="O49" s="188">
        <v>400000</v>
      </c>
      <c r="P49" s="188">
        <f t="shared" si="15"/>
        <v>854000</v>
      </c>
      <c r="Q49" s="188">
        <f t="shared" si="16"/>
        <v>400000</v>
      </c>
      <c r="R49" s="188">
        <v>243487</v>
      </c>
      <c r="S49" s="188">
        <f t="shared" si="17"/>
        <v>486974</v>
      </c>
      <c r="T49" s="188">
        <v>486974</v>
      </c>
      <c r="U49" s="188">
        <v>359369</v>
      </c>
      <c r="V49" s="190">
        <f t="shared" si="2"/>
        <v>431242.8</v>
      </c>
      <c r="W49" s="188">
        <v>490000</v>
      </c>
      <c r="X49" s="188">
        <v>391402</v>
      </c>
      <c r="Y49" s="188">
        <v>470000</v>
      </c>
      <c r="Z49" s="188">
        <f t="shared" si="18"/>
        <v>470000</v>
      </c>
      <c r="AA49" s="198">
        <v>405000</v>
      </c>
      <c r="AB49" s="198">
        <v>405000</v>
      </c>
      <c r="AC49" s="196"/>
      <c r="AD49" s="88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</row>
    <row r="50" spans="1:256" ht="30" customHeight="1" x14ac:dyDescent="0.25">
      <c r="A50" s="197">
        <v>621100.75</v>
      </c>
      <c r="B50" s="232" t="s">
        <v>265</v>
      </c>
      <c r="C50" s="194">
        <v>69300</v>
      </c>
      <c r="D50" s="187"/>
      <c r="E50" s="187">
        <v>69300</v>
      </c>
      <c r="F50" s="194">
        <v>139000</v>
      </c>
      <c r="G50" s="189">
        <v>69500</v>
      </c>
      <c r="H50" s="195">
        <v>104400</v>
      </c>
      <c r="I50" s="188">
        <v>69500</v>
      </c>
      <c r="J50" s="189"/>
      <c r="K50" s="189">
        <v>69500</v>
      </c>
      <c r="L50" s="189">
        <v>81200</v>
      </c>
      <c r="M50" s="189">
        <f>L50/7*5</f>
        <v>58000</v>
      </c>
      <c r="N50" s="189">
        <v>69500</v>
      </c>
      <c r="O50" s="188">
        <v>69500</v>
      </c>
      <c r="P50" s="188">
        <f t="shared" si="15"/>
        <v>139200</v>
      </c>
      <c r="Q50" s="188">
        <f t="shared" si="16"/>
        <v>69500</v>
      </c>
      <c r="R50" s="188">
        <f>Q50/2</f>
        <v>34750</v>
      </c>
      <c r="S50" s="188">
        <f t="shared" si="17"/>
        <v>69500</v>
      </c>
      <c r="T50" s="188">
        <f>Q50</f>
        <v>69500</v>
      </c>
      <c r="U50" s="188">
        <v>82200</v>
      </c>
      <c r="V50" s="190">
        <f t="shared" ref="V50:V107" si="19">U50*12/10</f>
        <v>98640</v>
      </c>
      <c r="W50" s="188">
        <v>69500</v>
      </c>
      <c r="X50" s="188">
        <v>82600</v>
      </c>
      <c r="Y50" s="188">
        <v>70800</v>
      </c>
      <c r="Z50" s="188">
        <f t="shared" si="18"/>
        <v>70800</v>
      </c>
      <c r="AA50" s="198">
        <v>70800</v>
      </c>
      <c r="AB50" s="198">
        <v>70800</v>
      </c>
      <c r="AC50" s="196"/>
      <c r="AD50" s="88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</row>
    <row r="51" spans="1:256" ht="30" customHeight="1" x14ac:dyDescent="0.25">
      <c r="A51" s="197">
        <v>621100.76</v>
      </c>
      <c r="B51" s="232" t="s">
        <v>419</v>
      </c>
      <c r="C51" s="194">
        <v>69300</v>
      </c>
      <c r="D51" s="187"/>
      <c r="E51" s="187">
        <f>175150-69300</f>
        <v>105850</v>
      </c>
      <c r="F51" s="194"/>
      <c r="G51" s="199">
        <f>69500-9500-5000+14500</f>
        <v>69500</v>
      </c>
      <c r="H51" s="195">
        <v>16175</v>
      </c>
      <c r="I51" s="188">
        <v>36018</v>
      </c>
      <c r="J51" s="189"/>
      <c r="K51" s="189">
        <v>69500</v>
      </c>
      <c r="L51" s="189">
        <v>0</v>
      </c>
      <c r="M51" s="189">
        <f t="shared" si="14"/>
        <v>0</v>
      </c>
      <c r="N51" s="189">
        <v>69500</v>
      </c>
      <c r="O51" s="188">
        <v>69500</v>
      </c>
      <c r="P51" s="188">
        <f t="shared" si="15"/>
        <v>0</v>
      </c>
      <c r="Q51" s="188">
        <f t="shared" si="16"/>
        <v>69500</v>
      </c>
      <c r="R51" s="188">
        <f>Q51/2</f>
        <v>34750</v>
      </c>
      <c r="S51" s="188">
        <f t="shared" si="17"/>
        <v>69500</v>
      </c>
      <c r="T51" s="188">
        <f>Q51</f>
        <v>69500</v>
      </c>
      <c r="U51" s="188">
        <v>21638</v>
      </c>
      <c r="V51" s="190">
        <f t="shared" si="19"/>
        <v>25965.599999999999</v>
      </c>
      <c r="W51" s="188">
        <v>69500</v>
      </c>
      <c r="X51" s="188">
        <v>12368</v>
      </c>
      <c r="Y51" s="188">
        <v>80800</v>
      </c>
      <c r="Z51" s="188">
        <f t="shared" si="18"/>
        <v>80800</v>
      </c>
      <c r="AA51" s="198">
        <v>100000</v>
      </c>
      <c r="AB51" s="198">
        <v>100000</v>
      </c>
      <c r="AC51" s="196"/>
      <c r="AD51" s="88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</row>
    <row r="52" spans="1:256" ht="30" customHeight="1" x14ac:dyDescent="0.25">
      <c r="A52" s="193">
        <v>621300.11</v>
      </c>
      <c r="B52" s="232" t="s">
        <v>56</v>
      </c>
      <c r="C52" s="202">
        <v>525000</v>
      </c>
      <c r="D52" s="187"/>
      <c r="E52" s="187">
        <v>504371</v>
      </c>
      <c r="F52" s="202">
        <f>516000+80000</f>
        <v>596000</v>
      </c>
      <c r="G52" s="188">
        <v>633120</v>
      </c>
      <c r="H52" s="204">
        <v>426677</v>
      </c>
      <c r="I52" s="188">
        <v>500158</v>
      </c>
      <c r="J52" s="189"/>
      <c r="K52" s="189">
        <f t="shared" ref="K52:K109" si="20">I52*4/3</f>
        <v>666877.33333333337</v>
      </c>
      <c r="L52" s="189">
        <v>288251</v>
      </c>
      <c r="M52" s="189">
        <f t="shared" si="14"/>
        <v>144125.5</v>
      </c>
      <c r="N52" s="190">
        <v>638000</v>
      </c>
      <c r="O52" s="190">
        <v>642000</v>
      </c>
      <c r="P52" s="190">
        <f>M52+L52</f>
        <v>432376.5</v>
      </c>
      <c r="Q52" s="190">
        <f>O52*1.045+45000</f>
        <v>715890</v>
      </c>
      <c r="R52" s="190">
        <f>402209.02*0.99</f>
        <v>398186.92980000004</v>
      </c>
      <c r="S52" s="190">
        <f t="shared" ref="S52:S61" si="21">R52*2</f>
        <v>796373.85960000008</v>
      </c>
      <c r="T52" s="190">
        <f>S52</f>
        <v>796373.85960000008</v>
      </c>
      <c r="U52" s="190">
        <v>663401</v>
      </c>
      <c r="V52" s="190">
        <f t="shared" si="19"/>
        <v>796081.2</v>
      </c>
      <c r="W52" s="190">
        <v>796375</v>
      </c>
      <c r="X52" s="190">
        <v>646484</v>
      </c>
      <c r="Y52" s="190">
        <v>763000</v>
      </c>
      <c r="Z52" s="190">
        <v>770000</v>
      </c>
      <c r="AA52" s="191">
        <v>792000</v>
      </c>
      <c r="AB52" s="191">
        <v>808000</v>
      </c>
      <c r="AC52" s="196">
        <v>4.5</v>
      </c>
      <c r="AD52" s="88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</row>
    <row r="53" spans="1:256" ht="30" customHeight="1" x14ac:dyDescent="0.25">
      <c r="A53" s="193">
        <v>621400.11</v>
      </c>
      <c r="B53" s="232" t="s">
        <v>234</v>
      </c>
      <c r="C53" s="194">
        <v>125000</v>
      </c>
      <c r="D53" s="187"/>
      <c r="E53" s="187">
        <v>156504</v>
      </c>
      <c r="F53" s="194">
        <v>164000</v>
      </c>
      <c r="G53" s="188">
        <v>154660</v>
      </c>
      <c r="H53" s="195">
        <v>113161</v>
      </c>
      <c r="I53" s="188">
        <v>117999</v>
      </c>
      <c r="J53" s="189"/>
      <c r="K53" s="189">
        <f t="shared" si="20"/>
        <v>157332</v>
      </c>
      <c r="L53" s="189">
        <v>107496</v>
      </c>
      <c r="M53" s="189">
        <f t="shared" si="14"/>
        <v>53748</v>
      </c>
      <c r="N53" s="190">
        <v>152000</v>
      </c>
      <c r="O53" s="190">
        <v>155800</v>
      </c>
      <c r="P53" s="190">
        <f>M53+L53</f>
        <v>161244</v>
      </c>
      <c r="Q53" s="190">
        <f>O53*1.045</f>
        <v>162811</v>
      </c>
      <c r="R53" s="190">
        <f>84782*0.985</f>
        <v>83510.27</v>
      </c>
      <c r="S53" s="190">
        <f t="shared" si="21"/>
        <v>167020.54</v>
      </c>
      <c r="T53" s="190">
        <f>S53</f>
        <v>167020.54</v>
      </c>
      <c r="U53" s="190">
        <v>138327</v>
      </c>
      <c r="V53" s="190">
        <f t="shared" si="19"/>
        <v>165992.4</v>
      </c>
      <c r="W53" s="190">
        <v>167021</v>
      </c>
      <c r="X53" s="190">
        <v>143075</v>
      </c>
      <c r="Y53" s="190">
        <v>170000</v>
      </c>
      <c r="Z53" s="190">
        <v>175000</v>
      </c>
      <c r="AA53" s="191">
        <v>172000</v>
      </c>
      <c r="AB53" s="191">
        <v>165000</v>
      </c>
      <c r="AC53" s="196">
        <v>1</v>
      </c>
      <c r="AD53" s="88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</row>
    <row r="54" spans="1:256" ht="30" customHeight="1" x14ac:dyDescent="0.25">
      <c r="A54" s="193">
        <v>623000.1</v>
      </c>
      <c r="B54" s="232" t="s">
        <v>619</v>
      </c>
      <c r="C54" s="194"/>
      <c r="D54" s="187"/>
      <c r="E54" s="187"/>
      <c r="F54" s="194"/>
      <c r="G54" s="188"/>
      <c r="H54" s="195"/>
      <c r="I54" s="188"/>
      <c r="J54" s="189"/>
      <c r="K54" s="189"/>
      <c r="L54" s="189"/>
      <c r="M54" s="189"/>
      <c r="N54" s="190"/>
      <c r="O54" s="190"/>
      <c r="P54" s="190"/>
      <c r="Q54" s="190"/>
      <c r="R54" s="190"/>
      <c r="S54" s="190"/>
      <c r="T54" s="190"/>
      <c r="U54" s="190"/>
      <c r="V54" s="190"/>
      <c r="W54" s="190">
        <v>95000</v>
      </c>
      <c r="X54" s="190"/>
      <c r="Y54" s="190"/>
      <c r="Z54" s="190">
        <v>95000</v>
      </c>
      <c r="AA54" s="191">
        <v>130000</v>
      </c>
      <c r="AB54" s="191">
        <v>166000</v>
      </c>
      <c r="AC54" s="196">
        <v>1</v>
      </c>
      <c r="AD54" s="88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</row>
    <row r="55" spans="1:256" ht="30" customHeight="1" x14ac:dyDescent="0.25">
      <c r="A55" s="193">
        <v>623100.11</v>
      </c>
      <c r="B55" s="232" t="s">
        <v>20</v>
      </c>
      <c r="C55" s="202">
        <v>720000</v>
      </c>
      <c r="D55" s="187"/>
      <c r="E55" s="187">
        <v>794991</v>
      </c>
      <c r="F55" s="202">
        <f>797000+3000</f>
        <v>800000</v>
      </c>
      <c r="G55" s="188">
        <v>857400</v>
      </c>
      <c r="H55" s="204">
        <f>552359+75000</f>
        <v>627359</v>
      </c>
      <c r="I55" s="188">
        <v>603854</v>
      </c>
      <c r="J55" s="189"/>
      <c r="K55" s="189">
        <f t="shared" si="20"/>
        <v>805138.66666666663</v>
      </c>
      <c r="L55" s="189">
        <v>569232</v>
      </c>
      <c r="M55" s="189">
        <f t="shared" si="14"/>
        <v>284616</v>
      </c>
      <c r="N55" s="190">
        <v>768000</v>
      </c>
      <c r="O55" s="190">
        <v>809600</v>
      </c>
      <c r="P55" s="190">
        <f>M55+L55</f>
        <v>853848</v>
      </c>
      <c r="Q55" s="190">
        <f>O55*1.045</f>
        <v>846032</v>
      </c>
      <c r="R55" s="190">
        <f>468916.84*0.985</f>
        <v>461883.08740000002</v>
      </c>
      <c r="S55" s="190">
        <f t="shared" si="21"/>
        <v>923766.17480000004</v>
      </c>
      <c r="T55" s="190">
        <f>S55</f>
        <v>923766.17480000004</v>
      </c>
      <c r="U55" s="190">
        <v>788619</v>
      </c>
      <c r="V55" s="190">
        <f t="shared" si="19"/>
        <v>946342.8</v>
      </c>
      <c r="W55" s="190">
        <v>923766</v>
      </c>
      <c r="X55" s="190">
        <f>Y55*10/12</f>
        <v>766666.66666666663</v>
      </c>
      <c r="Y55" s="190">
        <v>920000</v>
      </c>
      <c r="Z55" s="190">
        <v>935000</v>
      </c>
      <c r="AA55" s="191">
        <v>870000</v>
      </c>
      <c r="AB55" s="191">
        <v>888000</v>
      </c>
      <c r="AC55" s="196">
        <v>5.35</v>
      </c>
      <c r="AD55" s="88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</row>
    <row r="56" spans="1:256" ht="30" customHeight="1" x14ac:dyDescent="0.25">
      <c r="A56" s="197">
        <v>623100.52099999995</v>
      </c>
      <c r="B56" s="232" t="s">
        <v>57</v>
      </c>
      <c r="C56" s="194">
        <v>1000</v>
      </c>
      <c r="D56" s="187"/>
      <c r="E56" s="187">
        <v>0</v>
      </c>
      <c r="F56" s="194">
        <v>1000</v>
      </c>
      <c r="G56" s="189">
        <f>6000-1000</f>
        <v>5000</v>
      </c>
      <c r="H56" s="195">
        <v>0</v>
      </c>
      <c r="I56" s="188">
        <v>0</v>
      </c>
      <c r="J56" s="189"/>
      <c r="K56" s="189">
        <f t="shared" si="20"/>
        <v>0</v>
      </c>
      <c r="L56" s="189">
        <v>8290</v>
      </c>
      <c r="M56" s="189">
        <f t="shared" si="14"/>
        <v>4145</v>
      </c>
      <c r="N56" s="189">
        <v>5000</v>
      </c>
      <c r="O56" s="188">
        <v>8300</v>
      </c>
      <c r="P56" s="188">
        <f t="shared" ref="P56:P61" si="22">L56+M56</f>
        <v>12435</v>
      </c>
      <c r="Q56" s="188">
        <f>O56</f>
        <v>8300</v>
      </c>
      <c r="R56" s="188">
        <v>3550</v>
      </c>
      <c r="S56" s="188">
        <f t="shared" si="21"/>
        <v>7100</v>
      </c>
      <c r="T56" s="188">
        <f>Q56</f>
        <v>8300</v>
      </c>
      <c r="U56" s="188">
        <v>8814</v>
      </c>
      <c r="V56" s="190">
        <f t="shared" si="19"/>
        <v>10576.8</v>
      </c>
      <c r="W56" s="188">
        <v>4500</v>
      </c>
      <c r="X56" s="188">
        <v>7800</v>
      </c>
      <c r="Y56" s="188">
        <v>9000</v>
      </c>
      <c r="Z56" s="188">
        <f t="shared" ref="Z56:Z68" si="23">Y56</f>
        <v>9000</v>
      </c>
      <c r="AA56" s="198">
        <v>1000</v>
      </c>
      <c r="AB56" s="198">
        <v>1000</v>
      </c>
      <c r="AC56" s="196"/>
      <c r="AD56" s="88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</row>
    <row r="57" spans="1:256" ht="30" customHeight="1" x14ac:dyDescent="0.25">
      <c r="A57" s="197">
        <v>623100.54</v>
      </c>
      <c r="B57" s="232" t="s">
        <v>21</v>
      </c>
      <c r="C57" s="194">
        <v>40000</v>
      </c>
      <c r="D57" s="187"/>
      <c r="E57" s="187">
        <v>46705</v>
      </c>
      <c r="F57" s="194">
        <v>65000</v>
      </c>
      <c r="G57" s="189">
        <v>72000</v>
      </c>
      <c r="H57" s="195">
        <v>54076</v>
      </c>
      <c r="I57" s="188">
        <v>47582</v>
      </c>
      <c r="J57" s="189"/>
      <c r="K57" s="189">
        <f t="shared" si="20"/>
        <v>63442.666666666664</v>
      </c>
      <c r="L57" s="189">
        <v>46495</v>
      </c>
      <c r="M57" s="189">
        <f t="shared" si="14"/>
        <v>23247.5</v>
      </c>
      <c r="N57" s="189">
        <v>70000</v>
      </c>
      <c r="O57" s="188">
        <v>65300</v>
      </c>
      <c r="P57" s="188">
        <f t="shared" si="22"/>
        <v>69742.5</v>
      </c>
      <c r="Q57" s="188">
        <f>O57</f>
        <v>65300</v>
      </c>
      <c r="R57" s="188">
        <v>29270</v>
      </c>
      <c r="S57" s="188">
        <f t="shared" si="21"/>
        <v>58540</v>
      </c>
      <c r="T57" s="188">
        <v>60000</v>
      </c>
      <c r="U57" s="188">
        <v>54342</v>
      </c>
      <c r="V57" s="190">
        <f t="shared" si="19"/>
        <v>65210.400000000001</v>
      </c>
      <c r="W57" s="188">
        <v>60000</v>
      </c>
      <c r="X57" s="188">
        <v>60467</v>
      </c>
      <c r="Y57" s="188">
        <v>72500</v>
      </c>
      <c r="Z57" s="188">
        <f t="shared" si="23"/>
        <v>72500</v>
      </c>
      <c r="AA57" s="198">
        <v>61000</v>
      </c>
      <c r="AB57" s="198">
        <v>61000</v>
      </c>
      <c r="AC57" s="196"/>
      <c r="AD57" s="88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</row>
    <row r="58" spans="1:256" ht="30" customHeight="1" x14ac:dyDescent="0.25">
      <c r="A58" s="197">
        <v>623100.56000000006</v>
      </c>
      <c r="B58" s="232" t="s">
        <v>22</v>
      </c>
      <c r="C58" s="194">
        <v>30000</v>
      </c>
      <c r="D58" s="187"/>
      <c r="E58" s="187">
        <v>3637</v>
      </c>
      <c r="F58" s="194">
        <v>15000</v>
      </c>
      <c r="G58" s="189">
        <v>10000</v>
      </c>
      <c r="H58" s="195">
        <v>7322</v>
      </c>
      <c r="I58" s="188">
        <v>558</v>
      </c>
      <c r="J58" s="189"/>
      <c r="K58" s="189">
        <f t="shared" si="20"/>
        <v>744</v>
      </c>
      <c r="L58" s="189">
        <v>4014</v>
      </c>
      <c r="M58" s="189">
        <f t="shared" si="14"/>
        <v>2007</v>
      </c>
      <c r="N58" s="189">
        <v>2000</v>
      </c>
      <c r="O58" s="188">
        <v>4000</v>
      </c>
      <c r="P58" s="188">
        <f t="shared" si="22"/>
        <v>6021</v>
      </c>
      <c r="Q58" s="188">
        <f>O58</f>
        <v>4000</v>
      </c>
      <c r="R58" s="188">
        <v>1229</v>
      </c>
      <c r="S58" s="188">
        <f t="shared" si="21"/>
        <v>2458</v>
      </c>
      <c r="T58" s="188">
        <f>Q58</f>
        <v>4000</v>
      </c>
      <c r="U58" s="188">
        <v>5428</v>
      </c>
      <c r="V58" s="190">
        <f t="shared" si="19"/>
        <v>6513.6</v>
      </c>
      <c r="W58" s="188">
        <v>6000</v>
      </c>
      <c r="X58" s="188">
        <v>4897</v>
      </c>
      <c r="Y58" s="188">
        <v>6000</v>
      </c>
      <c r="Z58" s="188">
        <f t="shared" si="23"/>
        <v>6000</v>
      </c>
      <c r="AA58" s="198">
        <v>8000</v>
      </c>
      <c r="AB58" s="198">
        <v>8000</v>
      </c>
      <c r="AC58" s="196"/>
      <c r="AD58" s="88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</row>
    <row r="59" spans="1:256" s="50" customFormat="1" ht="30" customHeight="1" x14ac:dyDescent="0.25">
      <c r="A59" s="197">
        <v>623100.75</v>
      </c>
      <c r="B59" s="233" t="s">
        <v>700</v>
      </c>
      <c r="C59" s="202">
        <v>6000</v>
      </c>
      <c r="D59" s="203"/>
      <c r="E59" s="203">
        <v>6560</v>
      </c>
      <c r="F59" s="202">
        <v>7000</v>
      </c>
      <c r="G59" s="189">
        <f>5000-1000</f>
        <v>4000</v>
      </c>
      <c r="H59" s="204">
        <v>0</v>
      </c>
      <c r="I59" s="189">
        <v>2158</v>
      </c>
      <c r="J59" s="189"/>
      <c r="K59" s="189">
        <f t="shared" si="20"/>
        <v>2877.3333333333335</v>
      </c>
      <c r="L59" s="189">
        <v>1500</v>
      </c>
      <c r="M59" s="189">
        <f t="shared" si="14"/>
        <v>750</v>
      </c>
      <c r="N59" s="189">
        <v>4000</v>
      </c>
      <c r="O59" s="189">
        <v>4000</v>
      </c>
      <c r="P59" s="189">
        <f t="shared" si="22"/>
        <v>2250</v>
      </c>
      <c r="Q59" s="189">
        <f>O59</f>
        <v>4000</v>
      </c>
      <c r="R59" s="189">
        <v>0</v>
      </c>
      <c r="S59" s="189">
        <f t="shared" si="21"/>
        <v>0</v>
      </c>
      <c r="T59" s="189">
        <v>2000</v>
      </c>
      <c r="U59" s="189"/>
      <c r="V59" s="189">
        <f t="shared" si="19"/>
        <v>0</v>
      </c>
      <c r="W59" s="189"/>
      <c r="X59" s="189"/>
      <c r="Y59" s="189"/>
      <c r="Z59" s="189">
        <v>30000</v>
      </c>
      <c r="AA59" s="205"/>
      <c r="AB59" s="205">
        <v>30000</v>
      </c>
      <c r="AC59" s="196"/>
      <c r="AD59" s="89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  <c r="BP59" s="66"/>
      <c r="BQ59" s="66"/>
      <c r="BR59" s="66"/>
      <c r="BS59" s="66"/>
      <c r="BT59" s="66"/>
      <c r="BU59" s="66"/>
      <c r="BV59" s="66"/>
      <c r="BW59" s="66"/>
      <c r="BX59" s="66"/>
      <c r="BY59" s="66"/>
      <c r="BZ59" s="66"/>
      <c r="CA59" s="66"/>
      <c r="CB59" s="66"/>
      <c r="CC59" s="66"/>
      <c r="CD59" s="66"/>
      <c r="CE59" s="66"/>
      <c r="CF59" s="66"/>
      <c r="CG59" s="66"/>
      <c r="CH59" s="66"/>
      <c r="CI59" s="66"/>
      <c r="CJ59" s="66"/>
      <c r="CK59" s="66"/>
      <c r="CL59" s="66"/>
      <c r="CM59" s="66"/>
      <c r="CN59" s="66"/>
      <c r="CO59" s="66"/>
      <c r="CP59" s="66"/>
      <c r="CQ59" s="66"/>
      <c r="CR59" s="66"/>
      <c r="CS59" s="66"/>
      <c r="CT59" s="66"/>
      <c r="CU59" s="66"/>
      <c r="CV59" s="66"/>
      <c r="CW59" s="66"/>
      <c r="CX59" s="66"/>
      <c r="CY59" s="66"/>
      <c r="CZ59" s="66"/>
      <c r="DA59" s="66"/>
      <c r="DB59" s="66"/>
      <c r="DC59" s="66"/>
      <c r="DD59" s="66"/>
      <c r="DE59" s="66"/>
      <c r="DF59" s="66"/>
      <c r="DG59" s="66"/>
      <c r="DH59" s="66"/>
      <c r="DI59" s="66"/>
      <c r="DJ59" s="66"/>
      <c r="DK59" s="66"/>
      <c r="DL59" s="66"/>
      <c r="DM59" s="66"/>
      <c r="DN59" s="66"/>
      <c r="DO59" s="66"/>
      <c r="DP59" s="66"/>
      <c r="DQ59" s="66"/>
      <c r="DR59" s="66"/>
      <c r="DS59" s="66"/>
      <c r="DT59" s="66"/>
      <c r="DU59" s="66"/>
      <c r="DV59" s="66"/>
      <c r="DW59" s="66"/>
      <c r="DX59" s="66"/>
      <c r="DY59" s="66"/>
      <c r="DZ59" s="66"/>
      <c r="EA59" s="66"/>
      <c r="EB59" s="66"/>
      <c r="EC59" s="66"/>
      <c r="ED59" s="66"/>
      <c r="EE59" s="66"/>
      <c r="EF59" s="66"/>
      <c r="EG59" s="66"/>
      <c r="EH59" s="66"/>
      <c r="EI59" s="66"/>
      <c r="EJ59" s="66"/>
      <c r="EK59" s="66"/>
      <c r="EL59" s="66"/>
      <c r="EM59" s="66"/>
      <c r="EN59" s="66"/>
      <c r="EO59" s="66"/>
      <c r="EP59" s="66"/>
      <c r="EQ59" s="66"/>
      <c r="ER59" s="66"/>
      <c r="ES59" s="66"/>
      <c r="ET59" s="66"/>
      <c r="EU59" s="66"/>
      <c r="EV59" s="66"/>
      <c r="EW59" s="66"/>
      <c r="EX59" s="66"/>
      <c r="EY59" s="66"/>
      <c r="EZ59" s="66"/>
      <c r="FA59" s="66"/>
      <c r="FB59" s="66"/>
      <c r="FC59" s="66"/>
      <c r="FD59" s="66"/>
      <c r="FE59" s="66"/>
      <c r="FF59" s="66"/>
      <c r="FG59" s="66"/>
      <c r="FH59" s="66"/>
      <c r="FI59" s="66"/>
      <c r="FJ59" s="66"/>
      <c r="FK59" s="66"/>
      <c r="FL59" s="66"/>
      <c r="FM59" s="66"/>
      <c r="FN59" s="66"/>
      <c r="FO59" s="66"/>
      <c r="FP59" s="66"/>
      <c r="FQ59" s="66"/>
      <c r="FR59" s="66"/>
      <c r="FS59" s="66"/>
      <c r="FT59" s="66"/>
      <c r="FU59" s="66"/>
      <c r="FV59" s="66"/>
      <c r="FW59" s="66"/>
      <c r="FX59" s="66"/>
      <c r="FY59" s="66"/>
      <c r="FZ59" s="66"/>
      <c r="GA59" s="66"/>
      <c r="GB59" s="66"/>
      <c r="GC59" s="66"/>
      <c r="GD59" s="66"/>
      <c r="GE59" s="66"/>
      <c r="GF59" s="66"/>
      <c r="GG59" s="66"/>
      <c r="GH59" s="66"/>
      <c r="GI59" s="66"/>
      <c r="GJ59" s="66"/>
      <c r="GK59" s="66"/>
      <c r="GL59" s="66"/>
      <c r="GM59" s="66"/>
      <c r="GN59" s="66"/>
      <c r="GO59" s="66"/>
      <c r="GP59" s="66"/>
      <c r="GQ59" s="66"/>
      <c r="GR59" s="66"/>
      <c r="GS59" s="66"/>
      <c r="GT59" s="66"/>
      <c r="GU59" s="66"/>
      <c r="GV59" s="66"/>
      <c r="GW59" s="66"/>
      <c r="GX59" s="66"/>
      <c r="GY59" s="66"/>
      <c r="GZ59" s="66"/>
      <c r="HA59" s="66"/>
      <c r="HB59" s="66"/>
      <c r="HC59" s="66"/>
      <c r="HD59" s="66"/>
      <c r="HE59" s="66"/>
      <c r="HF59" s="66"/>
      <c r="HG59" s="66"/>
      <c r="HH59" s="66"/>
      <c r="HI59" s="66"/>
      <c r="HJ59" s="66"/>
      <c r="HK59" s="66"/>
      <c r="HL59" s="66"/>
      <c r="HM59" s="66"/>
      <c r="HN59" s="66"/>
      <c r="HO59" s="66"/>
      <c r="HP59" s="66"/>
      <c r="HQ59" s="66"/>
      <c r="HR59" s="66"/>
      <c r="HS59" s="66"/>
      <c r="HT59" s="66"/>
      <c r="HU59" s="66"/>
      <c r="HV59" s="66"/>
      <c r="HW59" s="66"/>
      <c r="HX59" s="66"/>
      <c r="HY59" s="66"/>
      <c r="HZ59" s="66"/>
      <c r="IA59" s="66"/>
      <c r="IB59" s="66"/>
      <c r="IC59" s="66"/>
      <c r="ID59" s="66"/>
      <c r="IE59" s="66"/>
      <c r="IF59" s="66"/>
      <c r="IG59" s="66"/>
      <c r="IH59" s="66"/>
      <c r="II59" s="66"/>
      <c r="IJ59" s="66"/>
      <c r="IK59" s="66"/>
      <c r="IL59" s="66"/>
      <c r="IM59" s="66"/>
      <c r="IN59" s="66"/>
      <c r="IO59" s="66"/>
      <c r="IP59" s="66"/>
      <c r="IQ59" s="66"/>
      <c r="IR59" s="66"/>
      <c r="IS59" s="66"/>
      <c r="IT59" s="66"/>
      <c r="IU59" s="66"/>
      <c r="IV59" s="66"/>
    </row>
    <row r="60" spans="1:256" s="50" customFormat="1" ht="30" customHeight="1" x14ac:dyDescent="0.25">
      <c r="A60" s="197">
        <v>623100.76</v>
      </c>
      <c r="B60" s="233" t="s">
        <v>442</v>
      </c>
      <c r="C60" s="202">
        <v>350000</v>
      </c>
      <c r="D60" s="203"/>
      <c r="E60" s="203">
        <f>1090293-350000</f>
        <v>740293</v>
      </c>
      <c r="F60" s="202"/>
      <c r="G60" s="189">
        <f>1550000-200000</f>
        <v>1350000</v>
      </c>
      <c r="H60" s="204">
        <v>1200123</v>
      </c>
      <c r="I60" s="189">
        <v>910512</v>
      </c>
      <c r="J60" s="189"/>
      <c r="K60" s="189">
        <f t="shared" si="20"/>
        <v>1214016</v>
      </c>
      <c r="L60" s="189">
        <v>332325</v>
      </c>
      <c r="M60" s="189">
        <f t="shared" si="14"/>
        <v>166162.5</v>
      </c>
      <c r="N60" s="189">
        <v>1225000</v>
      </c>
      <c r="O60" s="189">
        <v>549000</v>
      </c>
      <c r="P60" s="189">
        <f t="shared" si="22"/>
        <v>498487.5</v>
      </c>
      <c r="Q60" s="206">
        <f>450000+100000</f>
        <v>550000</v>
      </c>
      <c r="R60" s="206">
        <f>376246</f>
        <v>376246</v>
      </c>
      <c r="S60" s="206">
        <f t="shared" si="21"/>
        <v>752492</v>
      </c>
      <c r="T60" s="208">
        <v>755000</v>
      </c>
      <c r="U60" s="208">
        <v>797696</v>
      </c>
      <c r="V60" s="208">
        <f t="shared" si="19"/>
        <v>957235.19999999995</v>
      </c>
      <c r="W60" s="208">
        <v>705000</v>
      </c>
      <c r="X60" s="208">
        <v>407599</v>
      </c>
      <c r="Y60" s="189">
        <v>600000</v>
      </c>
      <c r="Z60" s="189">
        <f t="shared" si="23"/>
        <v>600000</v>
      </c>
      <c r="AA60" s="205">
        <v>1500000</v>
      </c>
      <c r="AB60" s="205">
        <v>1100000</v>
      </c>
      <c r="AC60" s="196"/>
      <c r="AD60" s="89" t="s">
        <v>699</v>
      </c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  <c r="BP60" s="66"/>
      <c r="BQ60" s="66"/>
      <c r="BR60" s="66"/>
      <c r="BS60" s="66"/>
      <c r="BT60" s="66"/>
      <c r="BU60" s="66"/>
      <c r="BV60" s="66"/>
      <c r="BW60" s="66"/>
      <c r="BX60" s="66"/>
      <c r="BY60" s="66"/>
      <c r="BZ60" s="66"/>
      <c r="CA60" s="66"/>
      <c r="CB60" s="66"/>
      <c r="CC60" s="66"/>
      <c r="CD60" s="66"/>
      <c r="CE60" s="66"/>
      <c r="CF60" s="66"/>
      <c r="CG60" s="66"/>
      <c r="CH60" s="66"/>
      <c r="CI60" s="66"/>
      <c r="CJ60" s="66"/>
      <c r="CK60" s="66"/>
      <c r="CL60" s="66"/>
      <c r="CM60" s="66"/>
      <c r="CN60" s="66"/>
      <c r="CO60" s="66"/>
      <c r="CP60" s="66"/>
      <c r="CQ60" s="66"/>
      <c r="CR60" s="66"/>
      <c r="CS60" s="66"/>
      <c r="CT60" s="66"/>
      <c r="CU60" s="66"/>
      <c r="CV60" s="66"/>
      <c r="CW60" s="66"/>
      <c r="CX60" s="66"/>
      <c r="CY60" s="66"/>
      <c r="CZ60" s="66"/>
      <c r="DA60" s="66"/>
      <c r="DB60" s="66"/>
      <c r="DC60" s="66"/>
      <c r="DD60" s="66"/>
      <c r="DE60" s="66"/>
      <c r="DF60" s="66"/>
      <c r="DG60" s="66"/>
      <c r="DH60" s="66"/>
      <c r="DI60" s="66"/>
      <c r="DJ60" s="66"/>
      <c r="DK60" s="66"/>
      <c r="DL60" s="66"/>
      <c r="DM60" s="66"/>
      <c r="DN60" s="66"/>
      <c r="DO60" s="66"/>
      <c r="DP60" s="66"/>
      <c r="DQ60" s="66"/>
      <c r="DR60" s="66"/>
      <c r="DS60" s="66"/>
      <c r="DT60" s="66"/>
      <c r="DU60" s="66"/>
      <c r="DV60" s="66"/>
      <c r="DW60" s="66"/>
      <c r="DX60" s="66"/>
      <c r="DY60" s="66"/>
      <c r="DZ60" s="66"/>
      <c r="EA60" s="66"/>
      <c r="EB60" s="66"/>
      <c r="EC60" s="66"/>
      <c r="ED60" s="66"/>
      <c r="EE60" s="66"/>
      <c r="EF60" s="66"/>
      <c r="EG60" s="66"/>
      <c r="EH60" s="66"/>
      <c r="EI60" s="66"/>
      <c r="EJ60" s="66"/>
      <c r="EK60" s="66"/>
      <c r="EL60" s="66"/>
      <c r="EM60" s="66"/>
      <c r="EN60" s="66"/>
      <c r="EO60" s="66"/>
      <c r="EP60" s="66"/>
      <c r="EQ60" s="66"/>
      <c r="ER60" s="66"/>
      <c r="ES60" s="66"/>
      <c r="ET60" s="66"/>
      <c r="EU60" s="66"/>
      <c r="EV60" s="66"/>
      <c r="EW60" s="66"/>
      <c r="EX60" s="66"/>
      <c r="EY60" s="66"/>
      <c r="EZ60" s="66"/>
      <c r="FA60" s="66"/>
      <c r="FB60" s="66"/>
      <c r="FC60" s="66"/>
      <c r="FD60" s="66"/>
      <c r="FE60" s="66"/>
      <c r="FF60" s="66"/>
      <c r="FG60" s="66"/>
      <c r="FH60" s="66"/>
      <c r="FI60" s="66"/>
      <c r="FJ60" s="66"/>
      <c r="FK60" s="66"/>
      <c r="FL60" s="66"/>
      <c r="FM60" s="66"/>
      <c r="FN60" s="66"/>
      <c r="FO60" s="66"/>
      <c r="FP60" s="66"/>
      <c r="FQ60" s="66"/>
      <c r="FR60" s="66"/>
      <c r="FS60" s="66"/>
      <c r="FT60" s="66"/>
      <c r="FU60" s="66"/>
      <c r="FV60" s="66"/>
      <c r="FW60" s="66"/>
      <c r="FX60" s="66"/>
      <c r="FY60" s="66"/>
      <c r="FZ60" s="66"/>
      <c r="GA60" s="66"/>
      <c r="GB60" s="66"/>
      <c r="GC60" s="66"/>
      <c r="GD60" s="66"/>
      <c r="GE60" s="66"/>
      <c r="GF60" s="66"/>
      <c r="GG60" s="66"/>
      <c r="GH60" s="66"/>
      <c r="GI60" s="66"/>
      <c r="GJ60" s="66"/>
      <c r="GK60" s="66"/>
      <c r="GL60" s="66"/>
      <c r="GM60" s="66"/>
      <c r="GN60" s="66"/>
      <c r="GO60" s="66"/>
      <c r="GP60" s="66"/>
      <c r="GQ60" s="66"/>
      <c r="GR60" s="66"/>
      <c r="GS60" s="66"/>
      <c r="GT60" s="66"/>
      <c r="GU60" s="66"/>
      <c r="GV60" s="66"/>
      <c r="GW60" s="66"/>
      <c r="GX60" s="66"/>
      <c r="GY60" s="66"/>
      <c r="GZ60" s="66"/>
      <c r="HA60" s="66"/>
      <c r="HB60" s="66"/>
      <c r="HC60" s="66"/>
      <c r="HD60" s="66"/>
      <c r="HE60" s="66"/>
      <c r="HF60" s="66"/>
      <c r="HG60" s="66"/>
      <c r="HH60" s="66"/>
      <c r="HI60" s="66"/>
      <c r="HJ60" s="66"/>
      <c r="HK60" s="66"/>
      <c r="HL60" s="66"/>
      <c r="HM60" s="66"/>
      <c r="HN60" s="66"/>
      <c r="HO60" s="66"/>
      <c r="HP60" s="66"/>
      <c r="HQ60" s="66"/>
      <c r="HR60" s="66"/>
      <c r="HS60" s="66"/>
      <c r="HT60" s="66"/>
      <c r="HU60" s="66"/>
      <c r="HV60" s="66"/>
      <c r="HW60" s="66"/>
      <c r="HX60" s="66"/>
      <c r="HY60" s="66"/>
      <c r="HZ60" s="66"/>
      <c r="IA60" s="66"/>
      <c r="IB60" s="66"/>
      <c r="IC60" s="66"/>
      <c r="ID60" s="66"/>
      <c r="IE60" s="66"/>
      <c r="IF60" s="66"/>
      <c r="IG60" s="66"/>
      <c r="IH60" s="66"/>
      <c r="II60" s="66"/>
      <c r="IJ60" s="66"/>
      <c r="IK60" s="66"/>
      <c r="IL60" s="66"/>
      <c r="IM60" s="66"/>
      <c r="IN60" s="66"/>
      <c r="IO60" s="66"/>
      <c r="IP60" s="66"/>
      <c r="IQ60" s="66"/>
      <c r="IR60" s="66"/>
      <c r="IS60" s="66"/>
      <c r="IT60" s="66"/>
      <c r="IU60" s="66"/>
      <c r="IV60" s="66"/>
    </row>
    <row r="61" spans="1:256" ht="30" customHeight="1" x14ac:dyDescent="0.25">
      <c r="A61" s="214">
        <v>623100.78</v>
      </c>
      <c r="B61" s="232" t="s">
        <v>209</v>
      </c>
      <c r="C61" s="194">
        <v>5000</v>
      </c>
      <c r="D61" s="187"/>
      <c r="E61" s="187">
        <v>850</v>
      </c>
      <c r="F61" s="194">
        <v>4000</v>
      </c>
      <c r="G61" s="189">
        <f>4000-1000</f>
        <v>3000</v>
      </c>
      <c r="H61" s="195">
        <v>1800</v>
      </c>
      <c r="I61" s="188">
        <v>0</v>
      </c>
      <c r="J61" s="189"/>
      <c r="K61" s="189">
        <f t="shared" si="20"/>
        <v>0</v>
      </c>
      <c r="L61" s="189">
        <v>1160</v>
      </c>
      <c r="M61" s="189">
        <f t="shared" si="14"/>
        <v>580</v>
      </c>
      <c r="N61" s="189">
        <v>2000</v>
      </c>
      <c r="O61" s="188">
        <v>2000</v>
      </c>
      <c r="P61" s="188">
        <f t="shared" si="22"/>
        <v>1740</v>
      </c>
      <c r="Q61" s="188">
        <f>O61</f>
        <v>2000</v>
      </c>
      <c r="R61" s="188">
        <v>300</v>
      </c>
      <c r="S61" s="188">
        <f t="shared" si="21"/>
        <v>600</v>
      </c>
      <c r="T61" s="188">
        <v>1000</v>
      </c>
      <c r="U61" s="188">
        <v>7329</v>
      </c>
      <c r="V61" s="190">
        <f t="shared" si="19"/>
        <v>8794.7999999999993</v>
      </c>
      <c r="W61" s="188">
        <v>5000</v>
      </c>
      <c r="X61" s="188">
        <v>4889</v>
      </c>
      <c r="Y61" s="188">
        <v>6000</v>
      </c>
      <c r="Z61" s="188">
        <f t="shared" si="23"/>
        <v>6000</v>
      </c>
      <c r="AA61" s="198">
        <v>8000</v>
      </c>
      <c r="AB61" s="198">
        <v>8000</v>
      </c>
      <c r="AC61" s="196"/>
      <c r="AD61" s="88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</row>
    <row r="62" spans="1:256" ht="30" customHeight="1" x14ac:dyDescent="0.25">
      <c r="A62" s="210"/>
      <c r="B62" s="275" t="s">
        <v>23</v>
      </c>
      <c r="C62" s="211">
        <f t="shared" ref="C62:M62" si="24">SUM(C45:C61)</f>
        <v>2942600</v>
      </c>
      <c r="D62" s="211">
        <f t="shared" si="24"/>
        <v>0</v>
      </c>
      <c r="E62" s="211">
        <f t="shared" si="24"/>
        <v>3652308</v>
      </c>
      <c r="F62" s="211">
        <f t="shared" si="24"/>
        <v>3048500</v>
      </c>
      <c r="G62" s="212">
        <f>SUM(G45:G61)</f>
        <v>4281180</v>
      </c>
      <c r="H62" s="212">
        <f t="shared" si="24"/>
        <v>3448916</v>
      </c>
      <c r="I62" s="212">
        <f t="shared" si="24"/>
        <v>3102679</v>
      </c>
      <c r="J62" s="213">
        <f t="shared" si="24"/>
        <v>0</v>
      </c>
      <c r="K62" s="213">
        <f t="shared" si="24"/>
        <v>4117106.6666666665</v>
      </c>
      <c r="L62" s="213">
        <f t="shared" si="24"/>
        <v>2579443</v>
      </c>
      <c r="M62" s="213">
        <f t="shared" si="24"/>
        <v>1240121.5</v>
      </c>
      <c r="N62" s="212">
        <f t="shared" ref="N62:T62" si="25">SUM(N45:N61)</f>
        <v>3991000</v>
      </c>
      <c r="O62" s="212">
        <f t="shared" si="25"/>
        <v>3407000</v>
      </c>
      <c r="P62" s="212">
        <f t="shared" si="25"/>
        <v>3819564.5</v>
      </c>
      <c r="Q62" s="212">
        <f t="shared" si="25"/>
        <v>3553333</v>
      </c>
      <c r="R62" s="212">
        <f>SUM(R45:R61)</f>
        <v>1980151.1972000001</v>
      </c>
      <c r="S62" s="212">
        <f t="shared" si="25"/>
        <v>3977858.5744000003</v>
      </c>
      <c r="T62" s="212">
        <f t="shared" si="25"/>
        <v>3998010.5744000003</v>
      </c>
      <c r="U62" s="212">
        <f t="shared" ref="U62:AC62" si="26">SUM(U45:U61)</f>
        <v>3457673</v>
      </c>
      <c r="V62" s="212">
        <f t="shared" si="26"/>
        <v>4149207.5999999996</v>
      </c>
      <c r="W62" s="212">
        <f t="shared" si="26"/>
        <v>4020662</v>
      </c>
      <c r="X62" s="212">
        <f t="shared" si="26"/>
        <v>3065994.6666666665</v>
      </c>
      <c r="Y62" s="212">
        <f t="shared" si="26"/>
        <v>3812100</v>
      </c>
      <c r="Z62" s="212">
        <f t="shared" si="26"/>
        <v>3970100</v>
      </c>
      <c r="AA62" s="211">
        <f t="shared" si="26"/>
        <v>4779800</v>
      </c>
      <c r="AB62" s="211">
        <f t="shared" si="26"/>
        <v>4486800</v>
      </c>
      <c r="AC62" s="212">
        <f t="shared" si="26"/>
        <v>12.85</v>
      </c>
      <c r="AD62" s="88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</row>
    <row r="63" spans="1:256" ht="30" customHeight="1" x14ac:dyDescent="0.25">
      <c r="A63" s="214">
        <v>631000.61</v>
      </c>
      <c r="B63" s="232" t="s">
        <v>40</v>
      </c>
      <c r="C63" s="194">
        <v>380000</v>
      </c>
      <c r="D63" s="187"/>
      <c r="E63" s="187">
        <v>846386</v>
      </c>
      <c r="F63" s="194">
        <f>525000+200000</f>
        <v>725000</v>
      </c>
      <c r="G63" s="199">
        <f>550000-50000</f>
        <v>500000</v>
      </c>
      <c r="H63" s="195">
        <v>414010</v>
      </c>
      <c r="I63" s="188">
        <v>474080</v>
      </c>
      <c r="J63" s="189"/>
      <c r="K63" s="189">
        <f t="shared" si="20"/>
        <v>632106.66666666663</v>
      </c>
      <c r="L63" s="189">
        <v>316580</v>
      </c>
      <c r="M63" s="189">
        <f>L63/8*4</f>
        <v>158290</v>
      </c>
      <c r="N63" s="189">
        <v>600000</v>
      </c>
      <c r="O63" s="189">
        <v>501000</v>
      </c>
      <c r="P63" s="188">
        <f>L63+M63</f>
        <v>474870</v>
      </c>
      <c r="Q63" s="188">
        <f>O63</f>
        <v>501000</v>
      </c>
      <c r="R63" s="188">
        <f>302155.7-8000</f>
        <v>294155.7</v>
      </c>
      <c r="S63" s="188">
        <f>R63*2</f>
        <v>588311.4</v>
      </c>
      <c r="T63" s="188">
        <v>588311</v>
      </c>
      <c r="U63" s="188">
        <v>509075</v>
      </c>
      <c r="V63" s="190">
        <f t="shared" si="19"/>
        <v>610890</v>
      </c>
      <c r="W63" s="188">
        <v>590550</v>
      </c>
      <c r="X63" s="188">
        <v>623347</v>
      </c>
      <c r="Y63" s="188">
        <v>710000</v>
      </c>
      <c r="Z63" s="188">
        <f t="shared" si="23"/>
        <v>710000</v>
      </c>
      <c r="AA63" s="198">
        <v>655000</v>
      </c>
      <c r="AB63" s="198">
        <v>655000</v>
      </c>
      <c r="AC63" s="196"/>
      <c r="AD63" s="88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</row>
    <row r="64" spans="1:256" ht="30" customHeight="1" x14ac:dyDescent="0.25">
      <c r="A64" s="214">
        <v>632000.62</v>
      </c>
      <c r="B64" s="232" t="s">
        <v>39</v>
      </c>
      <c r="C64" s="194">
        <v>850000</v>
      </c>
      <c r="D64" s="187"/>
      <c r="E64" s="194">
        <v>1596392</v>
      </c>
      <c r="F64" s="194">
        <v>950000</v>
      </c>
      <c r="G64" s="188">
        <f>750000+250000</f>
        <v>1000000</v>
      </c>
      <c r="H64" s="195">
        <f>576352+600000</f>
        <v>1176352</v>
      </c>
      <c r="I64" s="188">
        <v>1500000</v>
      </c>
      <c r="J64" s="189"/>
      <c r="K64" s="189">
        <v>2000000</v>
      </c>
      <c r="L64" s="189">
        <v>659168</v>
      </c>
      <c r="M64" s="189">
        <f>L64/8*4</f>
        <v>329584</v>
      </c>
      <c r="N64" s="189">
        <v>700000</v>
      </c>
      <c r="O64" s="189">
        <v>876000</v>
      </c>
      <c r="P64" s="188">
        <f>L64+M64</f>
        <v>988752</v>
      </c>
      <c r="Q64" s="200">
        <f>O64-100000</f>
        <v>776000</v>
      </c>
      <c r="R64" s="188">
        <v>278038.12</v>
      </c>
      <c r="S64" s="188">
        <f>R64*2</f>
        <v>556076.24</v>
      </c>
      <c r="T64" s="188">
        <f>Q64-150000</f>
        <v>626000</v>
      </c>
      <c r="U64" s="188">
        <v>433550</v>
      </c>
      <c r="V64" s="190">
        <f t="shared" si="19"/>
        <v>520260</v>
      </c>
      <c r="W64" s="188">
        <v>576397</v>
      </c>
      <c r="X64" s="188">
        <v>460657</v>
      </c>
      <c r="Y64" s="188">
        <v>550000</v>
      </c>
      <c r="Z64" s="188">
        <f t="shared" si="23"/>
        <v>550000</v>
      </c>
      <c r="AA64" s="198">
        <v>450000</v>
      </c>
      <c r="AB64" s="198">
        <v>450000</v>
      </c>
      <c r="AC64" s="196"/>
      <c r="AD64" s="88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</row>
    <row r="65" spans="1:256" ht="30" customHeight="1" x14ac:dyDescent="0.25">
      <c r="A65" s="210"/>
      <c r="B65" s="275" t="s">
        <v>24</v>
      </c>
      <c r="C65" s="211">
        <f t="shared" ref="C65:M65" si="27">SUM(C63:C64)</f>
        <v>1230000</v>
      </c>
      <c r="D65" s="211">
        <f t="shared" si="27"/>
        <v>0</v>
      </c>
      <c r="E65" s="211">
        <f t="shared" si="27"/>
        <v>2442778</v>
      </c>
      <c r="F65" s="211">
        <f t="shared" si="27"/>
        <v>1675000</v>
      </c>
      <c r="G65" s="212">
        <f>SUM(G63:G64)</f>
        <v>1500000</v>
      </c>
      <c r="H65" s="212">
        <f t="shared" si="27"/>
        <v>1590362</v>
      </c>
      <c r="I65" s="212">
        <f t="shared" si="27"/>
        <v>1974080</v>
      </c>
      <c r="J65" s="213">
        <f t="shared" si="27"/>
        <v>0</v>
      </c>
      <c r="K65" s="213">
        <f t="shared" si="27"/>
        <v>2632106.6666666665</v>
      </c>
      <c r="L65" s="213">
        <f t="shared" si="27"/>
        <v>975748</v>
      </c>
      <c r="M65" s="213">
        <f t="shared" si="27"/>
        <v>487874</v>
      </c>
      <c r="N65" s="212">
        <f t="shared" ref="N65:T65" si="28">SUM(N63:N64)</f>
        <v>1300000</v>
      </c>
      <c r="O65" s="212">
        <f t="shared" si="28"/>
        <v>1377000</v>
      </c>
      <c r="P65" s="212">
        <f t="shared" si="28"/>
        <v>1463622</v>
      </c>
      <c r="Q65" s="212">
        <f t="shared" si="28"/>
        <v>1277000</v>
      </c>
      <c r="R65" s="212">
        <f>SUM(R63:R64)</f>
        <v>572193.82000000007</v>
      </c>
      <c r="S65" s="212">
        <f t="shared" si="28"/>
        <v>1144387.6400000001</v>
      </c>
      <c r="T65" s="212">
        <f t="shared" si="28"/>
        <v>1214311</v>
      </c>
      <c r="U65" s="212">
        <f t="shared" ref="U65:AC65" si="29">SUM(U63:U64)</f>
        <v>942625</v>
      </c>
      <c r="V65" s="212">
        <f t="shared" si="29"/>
        <v>1131150</v>
      </c>
      <c r="W65" s="212">
        <f t="shared" si="29"/>
        <v>1166947</v>
      </c>
      <c r="X65" s="212">
        <f t="shared" si="29"/>
        <v>1084004</v>
      </c>
      <c r="Y65" s="212">
        <f t="shared" si="29"/>
        <v>1260000</v>
      </c>
      <c r="Z65" s="212">
        <f t="shared" si="29"/>
        <v>1260000</v>
      </c>
      <c r="AA65" s="211">
        <f t="shared" si="29"/>
        <v>1105000</v>
      </c>
      <c r="AB65" s="211">
        <f t="shared" si="29"/>
        <v>1105000</v>
      </c>
      <c r="AC65" s="212">
        <f t="shared" si="29"/>
        <v>0</v>
      </c>
      <c r="AD65" s="88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</row>
    <row r="66" spans="1:256" ht="30" customHeight="1" x14ac:dyDescent="0.25">
      <c r="A66" s="214">
        <v>648000.69099999999</v>
      </c>
      <c r="B66" s="232" t="s">
        <v>237</v>
      </c>
      <c r="C66" s="194">
        <f>4600000+28000</f>
        <v>4628000</v>
      </c>
      <c r="D66" s="187"/>
      <c r="E66" s="194">
        <f>3586919+1138545</f>
        <v>4725464</v>
      </c>
      <c r="F66" s="194">
        <f>4588000+300000</f>
        <v>4888000</v>
      </c>
      <c r="G66" s="188">
        <v>4517471</v>
      </c>
      <c r="H66" s="195">
        <f>I66*3/4+21000</f>
        <v>1915391.25</v>
      </c>
      <c r="I66" s="188">
        <v>2525855</v>
      </c>
      <c r="J66" s="189"/>
      <c r="K66" s="189">
        <f t="shared" si="20"/>
        <v>3367806.6666666665</v>
      </c>
      <c r="L66" s="189">
        <f>2154328+42</f>
        <v>2154370</v>
      </c>
      <c r="M66" s="189">
        <v>1213438</v>
      </c>
      <c r="N66" s="188">
        <f>3343000+400000</f>
        <v>3743000</v>
      </c>
      <c r="O66" s="188">
        <v>3069500</v>
      </c>
      <c r="P66" s="188">
        <f>L66+M66</f>
        <v>3367808</v>
      </c>
      <c r="Q66" s="188">
        <f>O66+110000</f>
        <v>3179500</v>
      </c>
      <c r="R66" s="188">
        <f>1632792+2323125-2465126</f>
        <v>1490791</v>
      </c>
      <c r="S66" s="188">
        <f>R66*2</f>
        <v>2981582</v>
      </c>
      <c r="T66" s="188">
        <f>S66</f>
        <v>2981582</v>
      </c>
      <c r="U66" s="188">
        <f>2812582+42</f>
        <v>2812624</v>
      </c>
      <c r="V66" s="190">
        <f t="shared" si="19"/>
        <v>3375148.8</v>
      </c>
      <c r="W66" s="188">
        <v>2086666</v>
      </c>
      <c r="X66" s="188">
        <v>2658972</v>
      </c>
      <c r="Y66" s="188">
        <v>3191000</v>
      </c>
      <c r="Z66" s="188">
        <v>3000000</v>
      </c>
      <c r="AA66" s="198">
        <v>2900000</v>
      </c>
      <c r="AB66" s="198">
        <v>2900000</v>
      </c>
      <c r="AC66" s="196"/>
      <c r="AD66" s="88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</row>
    <row r="67" spans="1:256" ht="30" customHeight="1" x14ac:dyDescent="0.25">
      <c r="A67" s="214">
        <v>648000.69200000004</v>
      </c>
      <c r="B67" s="232" t="s">
        <v>235</v>
      </c>
      <c r="C67" s="194">
        <f>2400000+3000</f>
        <v>2403000</v>
      </c>
      <c r="D67" s="187"/>
      <c r="E67" s="194">
        <f>1486254+800221</f>
        <v>2286475</v>
      </c>
      <c r="F67" s="194">
        <f>2102000+150000</f>
        <v>2252000</v>
      </c>
      <c r="G67" s="188">
        <v>1835344</v>
      </c>
      <c r="H67" s="195">
        <f>I67*3/4</f>
        <v>653584.5</v>
      </c>
      <c r="I67" s="188">
        <v>871446</v>
      </c>
      <c r="J67" s="189"/>
      <c r="K67" s="189">
        <f t="shared" si="20"/>
        <v>1161928</v>
      </c>
      <c r="L67" s="189">
        <f>648362+2</f>
        <v>648364</v>
      </c>
      <c r="M67" s="189">
        <v>323236</v>
      </c>
      <c r="N67" s="188">
        <f>1044000+50000</f>
        <v>1094000</v>
      </c>
      <c r="O67" s="188">
        <v>955900</v>
      </c>
      <c r="P67" s="188">
        <f>L67+M67</f>
        <v>971600</v>
      </c>
      <c r="Q67" s="188">
        <f>O67+50000</f>
        <v>1005900</v>
      </c>
      <c r="R67" s="188">
        <v>529377</v>
      </c>
      <c r="S67" s="188">
        <f>R67*2</f>
        <v>1058754</v>
      </c>
      <c r="T67" s="188">
        <f>S67</f>
        <v>1058754</v>
      </c>
      <c r="U67" s="188">
        <v>903979</v>
      </c>
      <c r="V67" s="190">
        <f t="shared" si="19"/>
        <v>1084774.8</v>
      </c>
      <c r="W67" s="188">
        <v>1000000</v>
      </c>
      <c r="X67" s="188">
        <v>646266</v>
      </c>
      <c r="Y67" s="188">
        <v>776000</v>
      </c>
      <c r="Z67" s="188">
        <v>750000</v>
      </c>
      <c r="AA67" s="198">
        <v>575000</v>
      </c>
      <c r="AB67" s="198">
        <v>575000</v>
      </c>
      <c r="AC67" s="196"/>
      <c r="AD67" s="88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</row>
    <row r="68" spans="1:256" ht="30" customHeight="1" x14ac:dyDescent="0.25">
      <c r="A68" s="214">
        <v>648000.69299999997</v>
      </c>
      <c r="B68" s="232" t="s">
        <v>236</v>
      </c>
      <c r="C68" s="194">
        <f>500000+85000</f>
        <v>585000</v>
      </c>
      <c r="D68" s="187"/>
      <c r="E68" s="194">
        <f>510820+291227+36000</f>
        <v>838047</v>
      </c>
      <c r="F68" s="194">
        <f>932000+20000</f>
        <v>952000</v>
      </c>
      <c r="G68" s="188">
        <v>1045066</v>
      </c>
      <c r="H68" s="195">
        <f>I68*3/4</f>
        <v>393355.5</v>
      </c>
      <c r="I68" s="188">
        <v>524474</v>
      </c>
      <c r="J68" s="189"/>
      <c r="K68" s="189">
        <f t="shared" si="20"/>
        <v>699298.66666666663</v>
      </c>
      <c r="L68" s="189">
        <f>479140+28586</f>
        <v>507726</v>
      </c>
      <c r="M68" s="189">
        <v>235562</v>
      </c>
      <c r="N68" s="188">
        <f>869000+50000</f>
        <v>919000</v>
      </c>
      <c r="O68" s="188">
        <v>703400</v>
      </c>
      <c r="P68" s="188">
        <f>L68+M68</f>
        <v>743288</v>
      </c>
      <c r="Q68" s="188">
        <f>O68+15000</f>
        <v>718400</v>
      </c>
      <c r="R68" s="188">
        <v>302957</v>
      </c>
      <c r="S68" s="188">
        <f>R68*2</f>
        <v>605914</v>
      </c>
      <c r="T68" s="188">
        <f>S68</f>
        <v>605914</v>
      </c>
      <c r="U68" s="188">
        <f>521814+28737</f>
        <v>550551</v>
      </c>
      <c r="V68" s="190">
        <f t="shared" si="19"/>
        <v>660661.19999999995</v>
      </c>
      <c r="W68" s="188">
        <v>1433689</v>
      </c>
      <c r="X68" s="188">
        <v>458712</v>
      </c>
      <c r="Y68" s="188">
        <v>550000</v>
      </c>
      <c r="Z68" s="188">
        <f t="shared" si="23"/>
        <v>550000</v>
      </c>
      <c r="AA68" s="198">
        <v>475000</v>
      </c>
      <c r="AB68" s="198">
        <v>475000</v>
      </c>
      <c r="AC68" s="196"/>
      <c r="AD68" s="88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</row>
    <row r="69" spans="1:256" ht="30" customHeight="1" x14ac:dyDescent="0.25">
      <c r="A69" s="210"/>
      <c r="B69" s="275" t="s">
        <v>25</v>
      </c>
      <c r="C69" s="211">
        <f>SUM(C66:C68)</f>
        <v>7616000</v>
      </c>
      <c r="D69" s="211">
        <f>SUM(D66:D68)</f>
        <v>0</v>
      </c>
      <c r="E69" s="211">
        <f>SUM(E66:E68)</f>
        <v>7849986</v>
      </c>
      <c r="F69" s="211">
        <f>SUM(F66:F68)</f>
        <v>8092000</v>
      </c>
      <c r="G69" s="212">
        <f t="shared" ref="G69:Q69" si="30">SUM(G66:G68)</f>
        <v>7397881</v>
      </c>
      <c r="H69" s="212">
        <f t="shared" si="30"/>
        <v>2962331.25</v>
      </c>
      <c r="I69" s="212">
        <f t="shared" si="30"/>
        <v>3921775</v>
      </c>
      <c r="J69" s="213">
        <f t="shared" si="30"/>
        <v>0</v>
      </c>
      <c r="K69" s="213">
        <f t="shared" si="30"/>
        <v>5229033.333333333</v>
      </c>
      <c r="L69" s="213">
        <f t="shared" si="30"/>
        <v>3310460</v>
      </c>
      <c r="M69" s="213">
        <f t="shared" si="30"/>
        <v>1772236</v>
      </c>
      <c r="N69" s="212">
        <f t="shared" si="30"/>
        <v>5756000</v>
      </c>
      <c r="O69" s="212">
        <f t="shared" si="30"/>
        <v>4728800</v>
      </c>
      <c r="P69" s="212">
        <f>SUM(P66:P68)</f>
        <v>5082696</v>
      </c>
      <c r="Q69" s="212">
        <f t="shared" si="30"/>
        <v>4903800</v>
      </c>
      <c r="R69" s="212">
        <f t="shared" ref="R69:W69" si="31">SUM(R66:R68)</f>
        <v>2323125</v>
      </c>
      <c r="S69" s="212">
        <f t="shared" si="31"/>
        <v>4646250</v>
      </c>
      <c r="T69" s="212">
        <f t="shared" si="31"/>
        <v>4646250</v>
      </c>
      <c r="U69" s="212">
        <f t="shared" si="31"/>
        <v>4267154</v>
      </c>
      <c r="V69" s="212">
        <f t="shared" si="31"/>
        <v>5120584.8</v>
      </c>
      <c r="W69" s="212">
        <f t="shared" si="31"/>
        <v>4520355</v>
      </c>
      <c r="X69" s="212">
        <f t="shared" ref="X69:AC69" si="32">SUM(X66:X68)</f>
        <v>3763950</v>
      </c>
      <c r="Y69" s="212">
        <f t="shared" si="32"/>
        <v>4517000</v>
      </c>
      <c r="Z69" s="212">
        <f t="shared" si="32"/>
        <v>4300000</v>
      </c>
      <c r="AA69" s="211">
        <f t="shared" si="32"/>
        <v>3950000</v>
      </c>
      <c r="AB69" s="211">
        <f t="shared" si="32"/>
        <v>3950000</v>
      </c>
      <c r="AC69" s="212">
        <f t="shared" si="32"/>
        <v>0</v>
      </c>
      <c r="AD69" s="88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</row>
    <row r="70" spans="1:256" ht="30" customHeight="1" x14ac:dyDescent="0.25">
      <c r="A70" s="210"/>
      <c r="B70" s="275" t="s">
        <v>26</v>
      </c>
      <c r="C70" s="211" t="e">
        <f>#REF!+C65+C62+C44</f>
        <v>#REF!</v>
      </c>
      <c r="D70" s="211" t="e">
        <f>#REF!+D65+D62+D44</f>
        <v>#REF!</v>
      </c>
      <c r="E70" s="211" t="e">
        <f>#REF!+E65+E62+E44</f>
        <v>#REF!</v>
      </c>
      <c r="F70" s="211" t="e">
        <f>#REF!+F65+F62+F44</f>
        <v>#REF!</v>
      </c>
      <c r="G70" s="212" t="e">
        <f>#REF!+G65+G62+G44</f>
        <v>#REF!</v>
      </c>
      <c r="H70" s="212" t="e">
        <f>#REF!+H65+H62+H44</f>
        <v>#REF!</v>
      </c>
      <c r="I70" s="212" t="e">
        <f>#REF!+I65+I62+I44</f>
        <v>#REF!</v>
      </c>
      <c r="J70" s="213" t="e">
        <f>#REF!+J65+J62+J44</f>
        <v>#REF!</v>
      </c>
      <c r="K70" s="213" t="e">
        <f>#REF!+K65+K62+K44</f>
        <v>#REF!</v>
      </c>
      <c r="L70" s="213" t="e">
        <f>#REF!+L65+L62+L44</f>
        <v>#REF!</v>
      </c>
      <c r="M70" s="213" t="e">
        <f>#REF!+M65+M62+M44</f>
        <v>#REF!</v>
      </c>
      <c r="N70" s="212" t="e">
        <f>#REF!+N65+N62+N44</f>
        <v>#REF!</v>
      </c>
      <c r="O70" s="212" t="e">
        <f>#REF!+O65+O62+O44</f>
        <v>#REF!</v>
      </c>
      <c r="P70" s="212" t="e">
        <f>#REF!+P65+P62+P44</f>
        <v>#REF!</v>
      </c>
      <c r="Q70" s="212" t="e">
        <f>#REF!+Q65+Q62+Q44</f>
        <v>#REF!</v>
      </c>
      <c r="R70" s="212" t="e">
        <f>#REF!+R65+R62+R44</f>
        <v>#REF!</v>
      </c>
      <c r="S70" s="212" t="e">
        <f>#REF!+S65+S62+S44</f>
        <v>#REF!</v>
      </c>
      <c r="T70" s="212" t="e">
        <f>#REF!+T65+T62+T44</f>
        <v>#REF!</v>
      </c>
      <c r="U70" s="212" t="e">
        <f>#REF!+U65+U62+U44</f>
        <v>#REF!</v>
      </c>
      <c r="V70" s="212" t="e">
        <f>#REF!+V65+V62+V44</f>
        <v>#REF!</v>
      </c>
      <c r="W70" s="212" t="e">
        <f>#REF!+W65+W62+W44</f>
        <v>#REF!</v>
      </c>
      <c r="X70" s="212" t="e">
        <f>#REF!+X65+X62+X44</f>
        <v>#REF!</v>
      </c>
      <c r="Y70" s="212" t="e">
        <f>#REF!+Y65+Y62+Y44</f>
        <v>#REF!</v>
      </c>
      <c r="Z70" s="212">
        <f>Z69+Z65+Z62+Z44</f>
        <v>17796600</v>
      </c>
      <c r="AA70" s="212">
        <f t="shared" ref="AA70:AC70" si="33">AA69+AA65+AA62+AA44</f>
        <v>17857400</v>
      </c>
      <c r="AB70" s="212">
        <f t="shared" si="33"/>
        <v>17734800</v>
      </c>
      <c r="AC70" s="212">
        <f t="shared" si="33"/>
        <v>31.299999999999997</v>
      </c>
      <c r="AD70" s="88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</row>
    <row r="71" spans="1:256" ht="30" customHeight="1" x14ac:dyDescent="0.25">
      <c r="A71" s="210"/>
      <c r="B71" s="275"/>
      <c r="C71" s="211"/>
      <c r="D71" s="215"/>
      <c r="E71" s="211"/>
      <c r="F71" s="211"/>
      <c r="G71" s="216"/>
      <c r="H71" s="212"/>
      <c r="I71" s="216"/>
      <c r="J71" s="217"/>
      <c r="K71" s="217"/>
      <c r="L71" s="217"/>
      <c r="M71" s="217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8"/>
      <c r="AB71" s="218"/>
      <c r="AC71" s="212"/>
      <c r="AD71" s="88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</row>
    <row r="72" spans="1:256" ht="30" customHeight="1" x14ac:dyDescent="0.25">
      <c r="A72" s="193">
        <v>711000.11</v>
      </c>
      <c r="B72" s="232" t="s">
        <v>58</v>
      </c>
      <c r="C72" s="194">
        <v>155000</v>
      </c>
      <c r="D72" s="187"/>
      <c r="E72" s="194">
        <v>110881</v>
      </c>
      <c r="F72" s="194">
        <v>115000</v>
      </c>
      <c r="G72" s="188">
        <v>135600</v>
      </c>
      <c r="H72" s="195">
        <v>99226</v>
      </c>
      <c r="I72" s="188">
        <v>117916</v>
      </c>
      <c r="J72" s="189"/>
      <c r="K72" s="189">
        <f t="shared" si="20"/>
        <v>157221.33333333334</v>
      </c>
      <c r="L72" s="189">
        <v>98152</v>
      </c>
      <c r="M72" s="189">
        <f>L72/7*5</f>
        <v>70108.571428571435</v>
      </c>
      <c r="N72" s="190">
        <v>158000</v>
      </c>
      <c r="O72" s="190">
        <v>158400</v>
      </c>
      <c r="P72" s="190">
        <f>M72+L72</f>
        <v>168260.57142857142</v>
      </c>
      <c r="Q72" s="190">
        <f>O72*1.045+160000*1.045*4/3</f>
        <v>388461.33333333337</v>
      </c>
      <c r="R72" s="190">
        <f>129552.86*0.985</f>
        <v>127609.5671</v>
      </c>
      <c r="S72" s="190">
        <f>R72*2</f>
        <v>255219.1342</v>
      </c>
      <c r="T72" s="190">
        <f>S72</f>
        <v>255219.1342</v>
      </c>
      <c r="U72" s="190">
        <v>180983</v>
      </c>
      <c r="V72" s="190">
        <f t="shared" si="19"/>
        <v>217179.6</v>
      </c>
      <c r="W72" s="190">
        <v>225000</v>
      </c>
      <c r="X72" s="190">
        <v>139927</v>
      </c>
      <c r="Y72" s="190">
        <v>168000</v>
      </c>
      <c r="Z72" s="190">
        <v>170000</v>
      </c>
      <c r="AA72" s="191">
        <v>158000</v>
      </c>
      <c r="AB72" s="191">
        <v>158000</v>
      </c>
      <c r="AC72" s="196">
        <v>1</v>
      </c>
      <c r="AD72" s="88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</row>
    <row r="73" spans="1:256" ht="30" customHeight="1" x14ac:dyDescent="0.25">
      <c r="A73" s="197">
        <v>711000.41</v>
      </c>
      <c r="B73" s="232" t="s">
        <v>59</v>
      </c>
      <c r="C73" s="194">
        <v>18000</v>
      </c>
      <c r="D73" s="187"/>
      <c r="E73" s="194">
        <v>16489</v>
      </c>
      <c r="F73" s="194">
        <v>18000</v>
      </c>
      <c r="G73" s="188">
        <v>14000</v>
      </c>
      <c r="H73" s="195">
        <v>10644</v>
      </c>
      <c r="I73" s="188">
        <v>10305</v>
      </c>
      <c r="J73" s="189"/>
      <c r="K73" s="189">
        <f t="shared" si="20"/>
        <v>13740</v>
      </c>
      <c r="L73" s="189">
        <v>18432</v>
      </c>
      <c r="M73" s="189">
        <v>0</v>
      </c>
      <c r="N73" s="188">
        <v>14000</v>
      </c>
      <c r="O73" s="188">
        <v>18400</v>
      </c>
      <c r="P73" s="188">
        <f t="shared" ref="P73:P82" si="34">L73+M73</f>
        <v>18432</v>
      </c>
      <c r="Q73" s="188">
        <f t="shared" ref="Q73:Q76" si="35">O73</f>
        <v>18400</v>
      </c>
      <c r="R73" s="188">
        <v>4428</v>
      </c>
      <c r="S73" s="188">
        <f t="shared" ref="S73:S81" si="36">R73*2</f>
        <v>8856</v>
      </c>
      <c r="T73" s="188">
        <f>Q73</f>
        <v>18400</v>
      </c>
      <c r="U73" s="188">
        <v>13284</v>
      </c>
      <c r="V73" s="190">
        <f t="shared" si="19"/>
        <v>15940.8</v>
      </c>
      <c r="W73" s="188">
        <v>18400</v>
      </c>
      <c r="X73" s="188">
        <v>11200</v>
      </c>
      <c r="Y73" s="188">
        <v>13000</v>
      </c>
      <c r="Z73" s="188">
        <f t="shared" ref="Z73:Z83" si="37">Y73</f>
        <v>13000</v>
      </c>
      <c r="AA73" s="198">
        <v>28000</v>
      </c>
      <c r="AB73" s="198">
        <v>28000</v>
      </c>
      <c r="AC73" s="196"/>
      <c r="AD73" s="88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</row>
    <row r="74" spans="1:256" ht="30" customHeight="1" x14ac:dyDescent="0.25">
      <c r="A74" s="197">
        <v>711000.52099999995</v>
      </c>
      <c r="B74" s="232" t="s">
        <v>238</v>
      </c>
      <c r="C74" s="194">
        <v>1000</v>
      </c>
      <c r="D74" s="187"/>
      <c r="E74" s="194">
        <v>220</v>
      </c>
      <c r="F74" s="194">
        <v>1000</v>
      </c>
      <c r="G74" s="188">
        <v>3000</v>
      </c>
      <c r="H74" s="195">
        <v>2090</v>
      </c>
      <c r="I74" s="188">
        <v>2035</v>
      </c>
      <c r="J74" s="189"/>
      <c r="K74" s="189">
        <f t="shared" si="20"/>
        <v>2713.3333333333335</v>
      </c>
      <c r="L74" s="189">
        <v>1345</v>
      </c>
      <c r="M74" s="189">
        <f>L74/8*4</f>
        <v>672.5</v>
      </c>
      <c r="N74" s="188">
        <v>3000</v>
      </c>
      <c r="O74" s="188">
        <v>3000</v>
      </c>
      <c r="P74" s="188">
        <f t="shared" si="34"/>
        <v>2017.5</v>
      </c>
      <c r="Q74" s="188">
        <f t="shared" si="35"/>
        <v>3000</v>
      </c>
      <c r="R74" s="188">
        <v>0</v>
      </c>
      <c r="S74" s="188">
        <f t="shared" si="36"/>
        <v>0</v>
      </c>
      <c r="T74" s="188">
        <f>Q74</f>
        <v>3000</v>
      </c>
      <c r="U74" s="188">
        <v>2050</v>
      </c>
      <c r="V74" s="190">
        <f t="shared" si="19"/>
        <v>2460</v>
      </c>
      <c r="W74" s="188">
        <v>4000</v>
      </c>
      <c r="X74" s="188">
        <v>2150</v>
      </c>
      <c r="Y74" s="188">
        <v>3000</v>
      </c>
      <c r="Z74" s="188">
        <f t="shared" si="37"/>
        <v>3000</v>
      </c>
      <c r="AA74" s="198"/>
      <c r="AB74" s="198"/>
      <c r="AC74" s="196"/>
      <c r="AD74" s="88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</row>
    <row r="75" spans="1:256" ht="30" customHeight="1" x14ac:dyDescent="0.25">
      <c r="A75" s="197">
        <v>711000.54</v>
      </c>
      <c r="B75" s="232" t="s">
        <v>239</v>
      </c>
      <c r="C75" s="194">
        <v>35000</v>
      </c>
      <c r="D75" s="187"/>
      <c r="E75" s="194">
        <v>27180</v>
      </c>
      <c r="F75" s="194">
        <v>30000</v>
      </c>
      <c r="G75" s="188">
        <v>33000</v>
      </c>
      <c r="H75" s="195">
        <v>24819</v>
      </c>
      <c r="I75" s="188">
        <v>18564</v>
      </c>
      <c r="J75" s="189"/>
      <c r="K75" s="189">
        <f t="shared" si="20"/>
        <v>24752</v>
      </c>
      <c r="L75" s="189">
        <v>12424</v>
      </c>
      <c r="M75" s="189">
        <f>L75/8*4</f>
        <v>6212</v>
      </c>
      <c r="N75" s="188">
        <v>30000</v>
      </c>
      <c r="O75" s="188">
        <v>20000</v>
      </c>
      <c r="P75" s="188">
        <f t="shared" si="34"/>
        <v>18636</v>
      </c>
      <c r="Q75" s="188">
        <f t="shared" si="35"/>
        <v>20000</v>
      </c>
      <c r="R75" s="188">
        <v>1558</v>
      </c>
      <c r="S75" s="188">
        <f t="shared" si="36"/>
        <v>3116</v>
      </c>
      <c r="T75" s="188">
        <v>6000</v>
      </c>
      <c r="U75" s="188">
        <v>6051</v>
      </c>
      <c r="V75" s="190">
        <f t="shared" si="19"/>
        <v>7261.2</v>
      </c>
      <c r="W75" s="188">
        <v>7000</v>
      </c>
      <c r="X75" s="188">
        <v>12374</v>
      </c>
      <c r="Y75" s="188">
        <v>15000</v>
      </c>
      <c r="Z75" s="188">
        <f t="shared" si="37"/>
        <v>15000</v>
      </c>
      <c r="AA75" s="198">
        <v>8000</v>
      </c>
      <c r="AB75" s="198">
        <v>8000</v>
      </c>
      <c r="AC75" s="196"/>
      <c r="AD75" s="88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</row>
    <row r="76" spans="1:256" ht="30" customHeight="1" x14ac:dyDescent="0.25">
      <c r="A76" s="197">
        <v>711000.78</v>
      </c>
      <c r="B76" s="232" t="s">
        <v>60</v>
      </c>
      <c r="C76" s="194">
        <v>30000</v>
      </c>
      <c r="D76" s="187"/>
      <c r="E76" s="194">
        <v>46673</v>
      </c>
      <c r="F76" s="194">
        <v>32000</v>
      </c>
      <c r="G76" s="188">
        <v>35000</v>
      </c>
      <c r="H76" s="195">
        <v>26049</v>
      </c>
      <c r="I76" s="188">
        <v>31397</v>
      </c>
      <c r="J76" s="189"/>
      <c r="K76" s="189">
        <f t="shared" si="20"/>
        <v>41862.666666666664</v>
      </c>
      <c r="L76" s="189">
        <v>21757</v>
      </c>
      <c r="M76" s="189">
        <f>L76/8*4</f>
        <v>10878.5</v>
      </c>
      <c r="N76" s="188">
        <v>35000</v>
      </c>
      <c r="O76" s="188">
        <v>94000</v>
      </c>
      <c r="P76" s="188">
        <f t="shared" si="34"/>
        <v>32635.5</v>
      </c>
      <c r="Q76" s="188">
        <f t="shared" si="35"/>
        <v>94000</v>
      </c>
      <c r="R76" s="188">
        <v>29744</v>
      </c>
      <c r="S76" s="188">
        <f t="shared" si="36"/>
        <v>59488</v>
      </c>
      <c r="T76" s="188">
        <v>70000</v>
      </c>
      <c r="U76" s="188">
        <v>29831</v>
      </c>
      <c r="V76" s="190">
        <f t="shared" si="19"/>
        <v>35797.199999999997</v>
      </c>
      <c r="W76" s="188">
        <v>40000</v>
      </c>
      <c r="X76" s="188">
        <v>26039</v>
      </c>
      <c r="Y76" s="188">
        <v>31000</v>
      </c>
      <c r="Z76" s="188">
        <f t="shared" si="37"/>
        <v>31000</v>
      </c>
      <c r="AA76" s="198">
        <v>56000</v>
      </c>
      <c r="AB76" s="198">
        <v>45000</v>
      </c>
      <c r="AC76" s="196"/>
      <c r="AD76" s="88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</row>
    <row r="77" spans="1:256" ht="30" customHeight="1" x14ac:dyDescent="0.25">
      <c r="A77" s="197"/>
      <c r="B77" s="232"/>
      <c r="C77" s="194"/>
      <c r="D77" s="187"/>
      <c r="E77" s="194"/>
      <c r="F77" s="194"/>
      <c r="G77" s="188"/>
      <c r="H77" s="195"/>
      <c r="I77" s="188"/>
      <c r="J77" s="189"/>
      <c r="K77" s="189"/>
      <c r="L77" s="189"/>
      <c r="M77" s="189"/>
      <c r="N77" s="188"/>
      <c r="O77" s="188"/>
      <c r="P77" s="188"/>
      <c r="Q77" s="188"/>
      <c r="R77" s="188"/>
      <c r="S77" s="188"/>
      <c r="T77" s="188"/>
      <c r="U77" s="188"/>
      <c r="V77" s="190"/>
      <c r="W77" s="188"/>
      <c r="X77" s="188"/>
      <c r="Y77" s="188">
        <f>X77*12/10</f>
        <v>0</v>
      </c>
      <c r="Z77" s="188">
        <f t="shared" si="37"/>
        <v>0</v>
      </c>
      <c r="AA77" s="198"/>
      <c r="AB77" s="198"/>
      <c r="AC77" s="196"/>
      <c r="AD77" s="88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</row>
    <row r="78" spans="1:256" ht="30" customHeight="1" x14ac:dyDescent="0.25">
      <c r="A78" s="197">
        <v>712100.53</v>
      </c>
      <c r="B78" s="232" t="s">
        <v>240</v>
      </c>
      <c r="C78" s="194">
        <v>30000</v>
      </c>
      <c r="D78" s="187"/>
      <c r="E78" s="194">
        <v>3944</v>
      </c>
      <c r="F78" s="194">
        <v>18000</v>
      </c>
      <c r="G78" s="188">
        <v>26000</v>
      </c>
      <c r="H78" s="195">
        <v>19225</v>
      </c>
      <c r="I78" s="188">
        <v>18734</v>
      </c>
      <c r="J78" s="189"/>
      <c r="K78" s="189">
        <f t="shared" si="20"/>
        <v>24978.666666666668</v>
      </c>
      <c r="L78" s="189">
        <v>43580</v>
      </c>
      <c r="M78" s="189">
        <f>L78/8*4</f>
        <v>21790</v>
      </c>
      <c r="N78" s="188">
        <v>26000</v>
      </c>
      <c r="O78" s="188">
        <v>59600</v>
      </c>
      <c r="P78" s="188">
        <f t="shared" si="34"/>
        <v>65370</v>
      </c>
      <c r="Q78" s="188">
        <f>O78+10000</f>
        <v>69600</v>
      </c>
      <c r="R78" s="188">
        <v>31001</v>
      </c>
      <c r="S78" s="188">
        <f t="shared" si="36"/>
        <v>62002</v>
      </c>
      <c r="T78" s="188">
        <f>Q78</f>
        <v>69600</v>
      </c>
      <c r="U78" s="188">
        <v>49038</v>
      </c>
      <c r="V78" s="190">
        <f t="shared" si="19"/>
        <v>58845.599999999999</v>
      </c>
      <c r="W78" s="188">
        <v>43000</v>
      </c>
      <c r="X78" s="188">
        <v>47454</v>
      </c>
      <c r="Y78" s="188">
        <v>57000</v>
      </c>
      <c r="Z78" s="188">
        <f t="shared" si="37"/>
        <v>57000</v>
      </c>
      <c r="AA78" s="198">
        <v>69000</v>
      </c>
      <c r="AB78" s="198">
        <v>65000</v>
      </c>
      <c r="AC78" s="196"/>
      <c r="AD78" s="88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</row>
    <row r="79" spans="1:256" ht="30" customHeight="1" x14ac:dyDescent="0.25">
      <c r="A79" s="197">
        <v>712100.72</v>
      </c>
      <c r="B79" s="232" t="s">
        <v>664</v>
      </c>
      <c r="C79" s="194">
        <v>30000</v>
      </c>
      <c r="D79" s="187"/>
      <c r="E79" s="194">
        <v>24358</v>
      </c>
      <c r="F79" s="194">
        <v>25000</v>
      </c>
      <c r="G79" s="188">
        <v>70000</v>
      </c>
      <c r="H79" s="195">
        <v>33754</v>
      </c>
      <c r="I79" s="188">
        <v>82904</v>
      </c>
      <c r="J79" s="189"/>
      <c r="K79" s="189">
        <f t="shared" si="20"/>
        <v>110538.66666666667</v>
      </c>
      <c r="L79" s="189">
        <v>76732</v>
      </c>
      <c r="M79" s="189">
        <f>L79/8*4</f>
        <v>38366</v>
      </c>
      <c r="N79" s="189">
        <v>110000</v>
      </c>
      <c r="O79" s="188">
        <v>149700</v>
      </c>
      <c r="P79" s="188">
        <f t="shared" si="34"/>
        <v>115098</v>
      </c>
      <c r="Q79" s="188">
        <f>O79</f>
        <v>149700</v>
      </c>
      <c r="R79" s="188">
        <v>44930.79</v>
      </c>
      <c r="S79" s="188">
        <f t="shared" si="36"/>
        <v>89861.58</v>
      </c>
      <c r="T79" s="188">
        <v>100000</v>
      </c>
      <c r="U79" s="188">
        <v>62475</v>
      </c>
      <c r="V79" s="190">
        <f t="shared" si="19"/>
        <v>74970</v>
      </c>
      <c r="W79" s="188">
        <v>70000</v>
      </c>
      <c r="X79" s="188">
        <v>60776</v>
      </c>
      <c r="Y79" s="188">
        <v>72000</v>
      </c>
      <c r="Z79" s="188">
        <f t="shared" si="37"/>
        <v>72000</v>
      </c>
      <c r="AA79" s="198">
        <v>53000</v>
      </c>
      <c r="AB79" s="198">
        <v>53000</v>
      </c>
      <c r="AC79" s="196"/>
      <c r="AD79" s="88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</row>
    <row r="80" spans="1:256" ht="30" customHeight="1" x14ac:dyDescent="0.25">
      <c r="A80" s="197">
        <v>712100.75</v>
      </c>
      <c r="B80" s="232" t="s">
        <v>420</v>
      </c>
      <c r="C80" s="202">
        <v>400000</v>
      </c>
      <c r="D80" s="187"/>
      <c r="E80" s="194">
        <v>480000</v>
      </c>
      <c r="F80" s="202">
        <f>50000*12+12000*12-44000</f>
        <v>700000</v>
      </c>
      <c r="G80" s="199">
        <f>720000+50000</f>
        <v>770000</v>
      </c>
      <c r="H80" s="204">
        <f>60000*9</f>
        <v>540000</v>
      </c>
      <c r="I80" s="188">
        <v>516634</v>
      </c>
      <c r="J80" s="189"/>
      <c r="K80" s="189">
        <f t="shared" si="20"/>
        <v>688845.33333333337</v>
      </c>
      <c r="L80" s="189">
        <v>568617</v>
      </c>
      <c r="M80" s="189">
        <v>350000</v>
      </c>
      <c r="N80" s="189">
        <v>700000</v>
      </c>
      <c r="O80" s="188">
        <v>918600</v>
      </c>
      <c r="P80" s="188">
        <f t="shared" si="34"/>
        <v>918617</v>
      </c>
      <c r="Q80" s="188">
        <f>O80</f>
        <v>918600</v>
      </c>
      <c r="R80" s="188">
        <v>428590</v>
      </c>
      <c r="S80" s="188">
        <f t="shared" si="36"/>
        <v>857180</v>
      </c>
      <c r="T80" s="188">
        <v>900000</v>
      </c>
      <c r="U80" s="188">
        <v>610773</v>
      </c>
      <c r="V80" s="190">
        <f t="shared" si="19"/>
        <v>732927.6</v>
      </c>
      <c r="W80" s="188">
        <v>1000000</v>
      </c>
      <c r="X80" s="188">
        <v>206539</v>
      </c>
      <c r="Y80" s="188">
        <v>1000000</v>
      </c>
      <c r="Z80" s="188">
        <f t="shared" si="37"/>
        <v>1000000</v>
      </c>
      <c r="AA80" s="198">
        <v>820000</v>
      </c>
      <c r="AB80" s="198">
        <v>820000</v>
      </c>
      <c r="AC80" s="196"/>
      <c r="AD80" s="88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</row>
    <row r="81" spans="1:256" ht="30" customHeight="1" x14ac:dyDescent="0.25">
      <c r="A81" s="197">
        <v>712200.75</v>
      </c>
      <c r="B81" s="232" t="s">
        <v>421</v>
      </c>
      <c r="C81" s="202"/>
      <c r="D81" s="187"/>
      <c r="E81" s="194">
        <f>547607-480000</f>
        <v>67607</v>
      </c>
      <c r="F81" s="202"/>
      <c r="G81" s="199">
        <f>460000-100000+50000</f>
        <v>410000</v>
      </c>
      <c r="H81" s="204">
        <v>153000</v>
      </c>
      <c r="I81" s="188">
        <v>37979</v>
      </c>
      <c r="J81" s="189"/>
      <c r="K81" s="189">
        <f t="shared" si="20"/>
        <v>50638.666666666664</v>
      </c>
      <c r="L81" s="189">
        <v>93070</v>
      </c>
      <c r="M81" s="189">
        <f>L81/8*4</f>
        <v>46535</v>
      </c>
      <c r="N81" s="189">
        <v>350000</v>
      </c>
      <c r="O81" s="188">
        <v>490600</v>
      </c>
      <c r="P81" s="188">
        <f t="shared" si="34"/>
        <v>139605</v>
      </c>
      <c r="Q81" s="188">
        <f>O81+100000</f>
        <v>590600</v>
      </c>
      <c r="R81" s="188">
        <v>184101</v>
      </c>
      <c r="S81" s="188">
        <f t="shared" si="36"/>
        <v>368202</v>
      </c>
      <c r="T81" s="188">
        <v>450600</v>
      </c>
      <c r="U81" s="188">
        <v>420861</v>
      </c>
      <c r="V81" s="190">
        <f t="shared" si="19"/>
        <v>505033.2</v>
      </c>
      <c r="W81" s="188">
        <v>500000</v>
      </c>
      <c r="X81" s="188">
        <v>221161</v>
      </c>
      <c r="Y81" s="188">
        <v>500000</v>
      </c>
      <c r="Z81" s="188">
        <f t="shared" si="37"/>
        <v>500000</v>
      </c>
      <c r="AA81" s="198">
        <v>550000</v>
      </c>
      <c r="AB81" s="198">
        <v>550000</v>
      </c>
      <c r="AC81" s="196"/>
      <c r="AD81" s="88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</row>
    <row r="82" spans="1:256" ht="30" customHeight="1" x14ac:dyDescent="0.25">
      <c r="A82" s="197">
        <v>712300.75</v>
      </c>
      <c r="B82" s="232" t="s">
        <v>41</v>
      </c>
      <c r="C82" s="194">
        <v>3900000</v>
      </c>
      <c r="D82" s="187"/>
      <c r="E82" s="194">
        <v>4929996</v>
      </c>
      <c r="F82" s="194">
        <v>4740000</v>
      </c>
      <c r="G82" s="189">
        <v>5105000</v>
      </c>
      <c r="H82" s="195">
        <f>3793941-50000</f>
        <v>3743941</v>
      </c>
      <c r="I82" s="188">
        <v>4275858</v>
      </c>
      <c r="J82" s="189"/>
      <c r="K82" s="189">
        <f t="shared" si="20"/>
        <v>5701144</v>
      </c>
      <c r="L82" s="189">
        <v>1463341</v>
      </c>
      <c r="M82" s="189">
        <v>4308282</v>
      </c>
      <c r="N82" s="189">
        <v>5556000</v>
      </c>
      <c r="O82" s="188">
        <v>5447300</v>
      </c>
      <c r="P82" s="188">
        <f t="shared" si="34"/>
        <v>5771623</v>
      </c>
      <c r="Q82" s="188">
        <f>O82</f>
        <v>5447300</v>
      </c>
      <c r="R82" s="188">
        <f>2900000-100000</f>
        <v>2800000</v>
      </c>
      <c r="S82" s="188">
        <f>R82*2</f>
        <v>5600000</v>
      </c>
      <c r="T82" s="188">
        <v>5600000</v>
      </c>
      <c r="U82" s="188">
        <v>5000000</v>
      </c>
      <c r="V82" s="190">
        <v>6000000</v>
      </c>
      <c r="W82" s="188">
        <v>6500000</v>
      </c>
      <c r="X82" s="188">
        <f>5999662+650000</f>
        <v>6649662</v>
      </c>
      <c r="Y82" s="188">
        <v>7000000</v>
      </c>
      <c r="Z82" s="188">
        <v>7200000</v>
      </c>
      <c r="AA82" s="198">
        <v>8100000</v>
      </c>
      <c r="AB82" s="198">
        <v>8100000</v>
      </c>
      <c r="AC82" s="196"/>
      <c r="AD82" s="88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</row>
    <row r="83" spans="1:256" ht="30" customHeight="1" x14ac:dyDescent="0.25">
      <c r="A83" s="197">
        <v>712300.93</v>
      </c>
      <c r="B83" s="232" t="s">
        <v>620</v>
      </c>
      <c r="C83" s="194"/>
      <c r="D83" s="187"/>
      <c r="E83" s="194"/>
      <c r="F83" s="194"/>
      <c r="G83" s="189"/>
      <c r="H83" s="195"/>
      <c r="I83" s="188"/>
      <c r="J83" s="189"/>
      <c r="K83" s="189"/>
      <c r="L83" s="189"/>
      <c r="M83" s="189"/>
      <c r="N83" s="189"/>
      <c r="O83" s="188"/>
      <c r="P83" s="188"/>
      <c r="Q83" s="188"/>
      <c r="R83" s="188"/>
      <c r="S83" s="188"/>
      <c r="T83" s="188"/>
      <c r="U83" s="188"/>
      <c r="V83" s="190"/>
      <c r="W83" s="188">
        <v>130000</v>
      </c>
      <c r="X83" s="188">
        <v>43046</v>
      </c>
      <c r="Y83" s="188">
        <v>52000</v>
      </c>
      <c r="Z83" s="188">
        <f t="shared" si="37"/>
        <v>52000</v>
      </c>
      <c r="AA83" s="198"/>
      <c r="AB83" s="198"/>
      <c r="AC83" s="196"/>
      <c r="AD83" s="88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</row>
    <row r="84" spans="1:256" ht="30" customHeight="1" x14ac:dyDescent="0.25">
      <c r="A84" s="193">
        <v>713200.11</v>
      </c>
      <c r="B84" s="232" t="s">
        <v>61</v>
      </c>
      <c r="C84" s="194">
        <v>900000</v>
      </c>
      <c r="D84" s="187"/>
      <c r="E84" s="194">
        <v>783206</v>
      </c>
      <c r="F84" s="194">
        <f>793000+5000</f>
        <v>798000</v>
      </c>
      <c r="G84" s="189">
        <v>594680</v>
      </c>
      <c r="H84" s="195">
        <v>581474</v>
      </c>
      <c r="I84" s="188">
        <v>383402</v>
      </c>
      <c r="J84" s="189"/>
      <c r="K84" s="189">
        <f t="shared" si="20"/>
        <v>511202.66666666669</v>
      </c>
      <c r="L84" s="189">
        <v>404609</v>
      </c>
      <c r="M84" s="189">
        <f>L84/7*5</f>
        <v>289006.42857142858</v>
      </c>
      <c r="N84" s="190">
        <v>488200</v>
      </c>
      <c r="O84" s="190">
        <v>690000</v>
      </c>
      <c r="P84" s="190">
        <f>M84+L84</f>
        <v>693615.42857142864</v>
      </c>
      <c r="Q84" s="190">
        <f>O84*1.045</f>
        <v>721050</v>
      </c>
      <c r="R84" s="190">
        <f>317425.66*0.985</f>
        <v>312664.27509999997</v>
      </c>
      <c r="S84" s="190">
        <f t="shared" ref="S84:S92" si="38">R84*2</f>
        <v>625328.55019999994</v>
      </c>
      <c r="T84" s="190">
        <f>S84</f>
        <v>625328.55019999994</v>
      </c>
      <c r="U84" s="190">
        <v>530215</v>
      </c>
      <c r="V84" s="190">
        <f t="shared" si="19"/>
        <v>636258</v>
      </c>
      <c r="W84" s="190">
        <v>625329</v>
      </c>
      <c r="X84" s="190">
        <v>529729</v>
      </c>
      <c r="Y84" s="190">
        <v>630000</v>
      </c>
      <c r="Z84" s="190">
        <f>645163-163</f>
        <v>645000</v>
      </c>
      <c r="AA84" s="191">
        <v>689000</v>
      </c>
      <c r="AB84" s="191">
        <v>676000</v>
      </c>
      <c r="AC84" s="196">
        <v>5.94</v>
      </c>
      <c r="AD84" s="88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</row>
    <row r="85" spans="1:256" ht="30" customHeight="1" x14ac:dyDescent="0.25">
      <c r="A85" s="193">
        <v>713300.11</v>
      </c>
      <c r="B85" s="232" t="s">
        <v>602</v>
      </c>
      <c r="C85" s="194"/>
      <c r="D85" s="187"/>
      <c r="E85" s="194"/>
      <c r="F85" s="194"/>
      <c r="G85" s="189"/>
      <c r="H85" s="195"/>
      <c r="I85" s="188"/>
      <c r="J85" s="189"/>
      <c r="K85" s="189"/>
      <c r="L85" s="189"/>
      <c r="M85" s="189"/>
      <c r="N85" s="190"/>
      <c r="O85" s="190"/>
      <c r="P85" s="190"/>
      <c r="Q85" s="190"/>
      <c r="R85" s="190">
        <f>106271.98*0.985</f>
        <v>104677.90029999999</v>
      </c>
      <c r="S85" s="190">
        <f t="shared" si="38"/>
        <v>209355.80059999999</v>
      </c>
      <c r="T85" s="190">
        <f>S85</f>
        <v>209355.80059999999</v>
      </c>
      <c r="U85" s="190">
        <v>218475</v>
      </c>
      <c r="V85" s="190">
        <f t="shared" si="19"/>
        <v>262170</v>
      </c>
      <c r="W85" s="190">
        <v>260000</v>
      </c>
      <c r="X85" s="190">
        <v>302595</v>
      </c>
      <c r="Y85" s="190">
        <v>363000</v>
      </c>
      <c r="Z85" s="190">
        <f>390050-50</f>
        <v>390000</v>
      </c>
      <c r="AA85" s="191">
        <v>303000</v>
      </c>
      <c r="AB85" s="191">
        <v>410000</v>
      </c>
      <c r="AC85" s="196">
        <v>2.6</v>
      </c>
      <c r="AD85" s="88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</row>
    <row r="86" spans="1:256" ht="30" customHeight="1" x14ac:dyDescent="0.25">
      <c r="A86" s="214">
        <v>713300.78</v>
      </c>
      <c r="B86" s="232" t="s">
        <v>638</v>
      </c>
      <c r="C86" s="194"/>
      <c r="D86" s="187"/>
      <c r="E86" s="194"/>
      <c r="F86" s="194"/>
      <c r="G86" s="189"/>
      <c r="H86" s="195"/>
      <c r="I86" s="188"/>
      <c r="J86" s="189"/>
      <c r="K86" s="189"/>
      <c r="L86" s="189"/>
      <c r="M86" s="189"/>
      <c r="N86" s="189"/>
      <c r="O86" s="188"/>
      <c r="P86" s="188"/>
      <c r="Q86" s="188"/>
      <c r="R86" s="188"/>
      <c r="S86" s="188"/>
      <c r="T86" s="188"/>
      <c r="U86" s="188"/>
      <c r="V86" s="190"/>
      <c r="W86" s="188"/>
      <c r="X86" s="188">
        <v>4600</v>
      </c>
      <c r="Y86" s="188">
        <v>6000</v>
      </c>
      <c r="Z86" s="188">
        <f>Y86</f>
        <v>6000</v>
      </c>
      <c r="AA86" s="198">
        <v>4000</v>
      </c>
      <c r="AB86" s="198">
        <v>4000</v>
      </c>
      <c r="AC86" s="196"/>
      <c r="AD86" s="88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</row>
    <row r="87" spans="1:256" ht="30" customHeight="1" x14ac:dyDescent="0.25">
      <c r="A87" s="193">
        <v>714200.11</v>
      </c>
      <c r="B87" s="232" t="s">
        <v>62</v>
      </c>
      <c r="C87" s="194">
        <v>178000</v>
      </c>
      <c r="D87" s="187"/>
      <c r="E87" s="194">
        <v>171318</v>
      </c>
      <c r="F87" s="194">
        <f>175000+3000</f>
        <v>178000</v>
      </c>
      <c r="G87" s="189">
        <v>183730</v>
      </c>
      <c r="H87" s="195">
        <v>134438</v>
      </c>
      <c r="I87" s="188">
        <v>158167</v>
      </c>
      <c r="J87" s="189"/>
      <c r="K87" s="189">
        <f t="shared" si="20"/>
        <v>210889.33333333334</v>
      </c>
      <c r="L87" s="189">
        <v>171692</v>
      </c>
      <c r="M87" s="189">
        <f>L87/7*5</f>
        <v>122637.14285714287</v>
      </c>
      <c r="N87" s="190">
        <v>210000</v>
      </c>
      <c r="O87" s="190">
        <v>276300</v>
      </c>
      <c r="P87" s="190">
        <f>M87+L87</f>
        <v>294329.14285714284</v>
      </c>
      <c r="Q87" s="190">
        <f>O87*1.045</f>
        <v>288733.5</v>
      </c>
      <c r="R87" s="190">
        <f>132301.1*0.985</f>
        <v>130316.58350000001</v>
      </c>
      <c r="S87" s="190">
        <f t="shared" si="38"/>
        <v>260633.16700000002</v>
      </c>
      <c r="T87" s="190">
        <f>S87</f>
        <v>260633.16700000002</v>
      </c>
      <c r="U87" s="190">
        <v>220221</v>
      </c>
      <c r="V87" s="190">
        <f t="shared" si="19"/>
        <v>264265.2</v>
      </c>
      <c r="W87" s="190">
        <v>260633</v>
      </c>
      <c r="X87" s="190">
        <v>235332</v>
      </c>
      <c r="Y87" s="190">
        <v>283000</v>
      </c>
      <c r="Z87" s="190">
        <v>330000</v>
      </c>
      <c r="AA87" s="191">
        <v>347000</v>
      </c>
      <c r="AB87" s="191">
        <v>337000</v>
      </c>
      <c r="AC87" s="196">
        <v>1</v>
      </c>
      <c r="AD87" s="88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</row>
    <row r="88" spans="1:256" ht="30" customHeight="1" x14ac:dyDescent="0.25">
      <c r="A88" s="214">
        <v>714200.52099999995</v>
      </c>
      <c r="B88" s="232" t="s">
        <v>210</v>
      </c>
      <c r="C88" s="194">
        <v>1000</v>
      </c>
      <c r="D88" s="187"/>
      <c r="E88" s="194">
        <v>360</v>
      </c>
      <c r="F88" s="194">
        <v>1000</v>
      </c>
      <c r="G88" s="189">
        <v>1000</v>
      </c>
      <c r="H88" s="195">
        <v>0</v>
      </c>
      <c r="I88" s="188">
        <v>0</v>
      </c>
      <c r="J88" s="189"/>
      <c r="K88" s="189">
        <f t="shared" si="20"/>
        <v>0</v>
      </c>
      <c r="L88" s="189">
        <v>900</v>
      </c>
      <c r="M88" s="189">
        <f>L88/8*4</f>
        <v>450</v>
      </c>
      <c r="N88" s="189">
        <v>1000</v>
      </c>
      <c r="O88" s="188">
        <v>1000</v>
      </c>
      <c r="P88" s="188">
        <f>L88+M88</f>
        <v>1350</v>
      </c>
      <c r="Q88" s="188">
        <f>O88</f>
        <v>1000</v>
      </c>
      <c r="R88" s="188">
        <v>0</v>
      </c>
      <c r="S88" s="188">
        <f t="shared" si="38"/>
        <v>0</v>
      </c>
      <c r="T88" s="188">
        <f>Q88</f>
        <v>1000</v>
      </c>
      <c r="U88" s="188">
        <v>396</v>
      </c>
      <c r="V88" s="190">
        <f t="shared" si="19"/>
        <v>475.2</v>
      </c>
      <c r="W88" s="188">
        <v>1000</v>
      </c>
      <c r="X88" s="188">
        <v>920</v>
      </c>
      <c r="Y88" s="188">
        <v>1000</v>
      </c>
      <c r="Z88" s="188">
        <f>Y88</f>
        <v>1000</v>
      </c>
      <c r="AA88" s="198"/>
      <c r="AB88" s="198"/>
      <c r="AC88" s="196"/>
      <c r="AD88" s="88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</row>
    <row r="89" spans="1:256" ht="30" customHeight="1" x14ac:dyDescent="0.25">
      <c r="A89" s="214">
        <v>714200.78</v>
      </c>
      <c r="B89" s="232" t="s">
        <v>63</v>
      </c>
      <c r="C89" s="194">
        <v>2000</v>
      </c>
      <c r="D89" s="187"/>
      <c r="E89" s="194">
        <v>7546</v>
      </c>
      <c r="F89" s="194">
        <v>2000</v>
      </c>
      <c r="G89" s="189">
        <v>4000</v>
      </c>
      <c r="H89" s="195">
        <v>3260</v>
      </c>
      <c r="I89" s="188">
        <v>1694</v>
      </c>
      <c r="J89" s="189"/>
      <c r="K89" s="189">
        <f t="shared" si="20"/>
        <v>2258.6666666666665</v>
      </c>
      <c r="L89" s="189">
        <v>1725</v>
      </c>
      <c r="M89" s="189">
        <f>L89/8*4</f>
        <v>862.5</v>
      </c>
      <c r="N89" s="189">
        <v>3000</v>
      </c>
      <c r="O89" s="188">
        <v>3000</v>
      </c>
      <c r="P89" s="188">
        <f>L89+M89</f>
        <v>2587.5</v>
      </c>
      <c r="Q89" s="188">
        <f>O89</f>
        <v>3000</v>
      </c>
      <c r="R89" s="188">
        <v>2476</v>
      </c>
      <c r="S89" s="188">
        <f t="shared" si="38"/>
        <v>4952</v>
      </c>
      <c r="T89" s="188">
        <v>4952</v>
      </c>
      <c r="U89" s="188">
        <v>4474</v>
      </c>
      <c r="V89" s="190">
        <f t="shared" si="19"/>
        <v>5368.8</v>
      </c>
      <c r="W89" s="188">
        <v>5000</v>
      </c>
      <c r="X89" s="188">
        <v>3260</v>
      </c>
      <c r="Y89" s="188">
        <v>4000</v>
      </c>
      <c r="Z89" s="188">
        <f>Y89</f>
        <v>4000</v>
      </c>
      <c r="AA89" s="198">
        <v>15000</v>
      </c>
      <c r="AB89" s="198">
        <v>15000</v>
      </c>
      <c r="AC89" s="196"/>
      <c r="AD89" s="88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</row>
    <row r="90" spans="1:256" ht="30" customHeight="1" x14ac:dyDescent="0.25">
      <c r="A90" s="193">
        <v>714201.11</v>
      </c>
      <c r="B90" s="232" t="s">
        <v>639</v>
      </c>
      <c r="C90" s="194"/>
      <c r="D90" s="187"/>
      <c r="E90" s="194"/>
      <c r="F90" s="194"/>
      <c r="G90" s="189"/>
      <c r="H90" s="195"/>
      <c r="I90" s="188"/>
      <c r="J90" s="189"/>
      <c r="K90" s="189"/>
      <c r="L90" s="189"/>
      <c r="M90" s="189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>
        <v>204604</v>
      </c>
      <c r="Y90" s="190">
        <v>245000</v>
      </c>
      <c r="Z90" s="190">
        <v>250000</v>
      </c>
      <c r="AA90" s="191">
        <v>433000</v>
      </c>
      <c r="AB90" s="191">
        <v>560000</v>
      </c>
      <c r="AC90" s="196">
        <v>3</v>
      </c>
      <c r="AD90" s="88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</row>
    <row r="91" spans="1:256" ht="30" customHeight="1" x14ac:dyDescent="0.25">
      <c r="A91" s="214">
        <v>715300.74</v>
      </c>
      <c r="B91" s="232" t="s">
        <v>64</v>
      </c>
      <c r="C91" s="194">
        <v>80000</v>
      </c>
      <c r="D91" s="187"/>
      <c r="E91" s="194">
        <v>10000</v>
      </c>
      <c r="F91" s="194">
        <v>25000</v>
      </c>
      <c r="G91" s="189">
        <f>20000-1000</f>
        <v>19000</v>
      </c>
      <c r="H91" s="195">
        <v>14256</v>
      </c>
      <c r="I91" s="188">
        <v>9470</v>
      </c>
      <c r="J91" s="189"/>
      <c r="K91" s="189">
        <f t="shared" si="20"/>
        <v>12626.666666666666</v>
      </c>
      <c r="L91" s="189"/>
      <c r="M91" s="189">
        <f>L91/8*4</f>
        <v>0</v>
      </c>
      <c r="N91" s="189">
        <v>13000</v>
      </c>
      <c r="O91" s="188">
        <v>15000</v>
      </c>
      <c r="P91" s="188">
        <f>L91+M91</f>
        <v>0</v>
      </c>
      <c r="Q91" s="188">
        <f>O91</f>
        <v>15000</v>
      </c>
      <c r="R91" s="188">
        <v>1224</v>
      </c>
      <c r="S91" s="188">
        <f t="shared" si="38"/>
        <v>2448</v>
      </c>
      <c r="T91" s="188">
        <v>4500</v>
      </c>
      <c r="U91" s="188">
        <v>1766</v>
      </c>
      <c r="V91" s="190">
        <f t="shared" si="19"/>
        <v>2119.1999999999998</v>
      </c>
      <c r="W91" s="188">
        <v>5000</v>
      </c>
      <c r="X91" s="188">
        <v>2150</v>
      </c>
      <c r="Y91" s="188">
        <v>3000</v>
      </c>
      <c r="Z91" s="188">
        <f>Y91</f>
        <v>3000</v>
      </c>
      <c r="AA91" s="198"/>
      <c r="AB91" s="198"/>
      <c r="AC91" s="196"/>
      <c r="AD91" s="88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</row>
    <row r="92" spans="1:256" ht="30" customHeight="1" x14ac:dyDescent="0.25">
      <c r="A92" s="214">
        <v>715300.75</v>
      </c>
      <c r="B92" s="232" t="s">
        <v>65</v>
      </c>
      <c r="C92" s="194">
        <v>18000</v>
      </c>
      <c r="D92" s="187"/>
      <c r="E92" s="194">
        <v>42133</v>
      </c>
      <c r="F92" s="194">
        <v>45000</v>
      </c>
      <c r="G92" s="189">
        <f>25000-5000</f>
        <v>20000</v>
      </c>
      <c r="H92" s="195">
        <v>6960</v>
      </c>
      <c r="I92" s="188">
        <v>10440</v>
      </c>
      <c r="J92" s="189"/>
      <c r="K92" s="189">
        <f t="shared" si="20"/>
        <v>13920</v>
      </c>
      <c r="L92" s="189">
        <v>14024</v>
      </c>
      <c r="M92" s="189">
        <f>L92/8*4</f>
        <v>7012</v>
      </c>
      <c r="N92" s="189">
        <v>15000</v>
      </c>
      <c r="O92" s="188">
        <v>12000</v>
      </c>
      <c r="P92" s="188">
        <f>L92+M92</f>
        <v>21036</v>
      </c>
      <c r="Q92" s="188">
        <f>O92</f>
        <v>12000</v>
      </c>
      <c r="R92" s="188">
        <v>3000</v>
      </c>
      <c r="S92" s="188">
        <f t="shared" si="38"/>
        <v>6000</v>
      </c>
      <c r="T92" s="188">
        <v>8000</v>
      </c>
      <c r="U92" s="188">
        <v>6540</v>
      </c>
      <c r="V92" s="190">
        <f t="shared" si="19"/>
        <v>7848</v>
      </c>
      <c r="W92" s="188">
        <v>40000</v>
      </c>
      <c r="X92" s="188">
        <v>18380</v>
      </c>
      <c r="Y92" s="188">
        <v>22000</v>
      </c>
      <c r="Z92" s="188">
        <f>Y92</f>
        <v>22000</v>
      </c>
      <c r="AA92" s="198"/>
      <c r="AB92" s="198"/>
      <c r="AC92" s="196"/>
      <c r="AD92" s="88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</row>
    <row r="93" spans="1:256" ht="30" customHeight="1" x14ac:dyDescent="0.25">
      <c r="A93" s="210"/>
      <c r="B93" s="275" t="s">
        <v>13</v>
      </c>
      <c r="C93" s="211">
        <f t="shared" ref="C93:Q93" si="39">SUM(C72:C92)</f>
        <v>5778000</v>
      </c>
      <c r="D93" s="211">
        <f t="shared" si="39"/>
        <v>0</v>
      </c>
      <c r="E93" s="211">
        <f t="shared" si="39"/>
        <v>6721911</v>
      </c>
      <c r="F93" s="211">
        <f t="shared" si="39"/>
        <v>6728000</v>
      </c>
      <c r="G93" s="212">
        <f>SUM(G72:G92)</f>
        <v>7424010</v>
      </c>
      <c r="H93" s="212">
        <f t="shared" si="39"/>
        <v>5393136</v>
      </c>
      <c r="I93" s="212">
        <f t="shared" si="39"/>
        <v>5675499</v>
      </c>
      <c r="J93" s="213">
        <f t="shared" si="39"/>
        <v>0</v>
      </c>
      <c r="K93" s="213">
        <f t="shared" si="39"/>
        <v>7567332.0000000009</v>
      </c>
      <c r="L93" s="213">
        <f t="shared" si="39"/>
        <v>2990400</v>
      </c>
      <c r="M93" s="213">
        <f t="shared" si="39"/>
        <v>5272812.6428571418</v>
      </c>
      <c r="N93" s="212">
        <f t="shared" si="39"/>
        <v>7712200</v>
      </c>
      <c r="O93" s="212">
        <f t="shared" si="39"/>
        <v>8356900</v>
      </c>
      <c r="P93" s="212">
        <f t="shared" si="39"/>
        <v>8263212.6428571427</v>
      </c>
      <c r="Q93" s="212">
        <f t="shared" si="39"/>
        <v>8740444.833333334</v>
      </c>
      <c r="R93" s="212">
        <f t="shared" ref="R93:AC93" si="40">SUM(R72:R92)</f>
        <v>4206321.1159999995</v>
      </c>
      <c r="S93" s="212">
        <f t="shared" si="40"/>
        <v>8412642.2319999989</v>
      </c>
      <c r="T93" s="212">
        <f t="shared" si="40"/>
        <v>8586588.6519999988</v>
      </c>
      <c r="U93" s="212">
        <f t="shared" si="40"/>
        <v>7357433</v>
      </c>
      <c r="V93" s="212">
        <f t="shared" si="40"/>
        <v>8828919.5999999978</v>
      </c>
      <c r="W93" s="212">
        <f t="shared" si="40"/>
        <v>9734362</v>
      </c>
      <c r="X93" s="212">
        <f t="shared" si="40"/>
        <v>8721898</v>
      </c>
      <c r="Y93" s="212">
        <f t="shared" si="40"/>
        <v>10468000</v>
      </c>
      <c r="Z93" s="212">
        <f t="shared" si="40"/>
        <v>10764000</v>
      </c>
      <c r="AA93" s="211">
        <f t="shared" si="40"/>
        <v>11633000</v>
      </c>
      <c r="AB93" s="211">
        <f t="shared" si="40"/>
        <v>11829000</v>
      </c>
      <c r="AC93" s="212">
        <f t="shared" si="40"/>
        <v>13.540000000000001</v>
      </c>
      <c r="AD93" s="88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</row>
    <row r="94" spans="1:256" ht="30" customHeight="1" x14ac:dyDescent="0.25">
      <c r="A94" s="193">
        <v>721000.11</v>
      </c>
      <c r="B94" s="233" t="s">
        <v>408</v>
      </c>
      <c r="C94" s="202">
        <v>0</v>
      </c>
      <c r="D94" s="203"/>
      <c r="E94" s="202">
        <v>0</v>
      </c>
      <c r="F94" s="202">
        <v>63250</v>
      </c>
      <c r="G94" s="188">
        <v>70000</v>
      </c>
      <c r="H94" s="204">
        <v>0</v>
      </c>
      <c r="I94" s="188">
        <v>52227</v>
      </c>
      <c r="J94" s="189"/>
      <c r="K94" s="189">
        <f t="shared" si="20"/>
        <v>69636</v>
      </c>
      <c r="L94" s="189">
        <v>114844</v>
      </c>
      <c r="M94" s="189">
        <f>L94/7*5</f>
        <v>82031.428571428565</v>
      </c>
      <c r="N94" s="190">
        <v>82000</v>
      </c>
      <c r="O94" s="190">
        <v>192200</v>
      </c>
      <c r="P94" s="190">
        <f>M94+L94</f>
        <v>196875.42857142858</v>
      </c>
      <c r="Q94" s="190">
        <v>190000</v>
      </c>
      <c r="R94" s="190">
        <f>80143.81*0.985</f>
        <v>78941.652849999999</v>
      </c>
      <c r="S94" s="190">
        <f>R94*2</f>
        <v>157883.3057</v>
      </c>
      <c r="T94" s="190">
        <f>S94</f>
        <v>157883.3057</v>
      </c>
      <c r="U94" s="190">
        <v>124133</v>
      </c>
      <c r="V94" s="190">
        <f t="shared" si="19"/>
        <v>148959.6</v>
      </c>
      <c r="W94" s="190">
        <v>157883</v>
      </c>
      <c r="X94" s="190">
        <v>130987</v>
      </c>
      <c r="Y94" s="190">
        <v>157000</v>
      </c>
      <c r="Z94" s="190">
        <v>180000</v>
      </c>
      <c r="AA94" s="191">
        <v>197000</v>
      </c>
      <c r="AB94" s="191">
        <v>195000</v>
      </c>
      <c r="AC94" s="219">
        <v>1.7</v>
      </c>
      <c r="AD94" s="88" t="s">
        <v>699</v>
      </c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</row>
    <row r="95" spans="1:256" ht="30" customHeight="1" x14ac:dyDescent="0.25">
      <c r="A95" s="193">
        <v>721001.11</v>
      </c>
      <c r="B95" s="233" t="s">
        <v>439</v>
      </c>
      <c r="C95" s="202">
        <v>0</v>
      </c>
      <c r="D95" s="203"/>
      <c r="E95" s="202">
        <v>0</v>
      </c>
      <c r="F95" s="202">
        <v>400000</v>
      </c>
      <c r="G95" s="188">
        <v>650000</v>
      </c>
      <c r="H95" s="204">
        <v>0</v>
      </c>
      <c r="I95" s="188">
        <v>331268</v>
      </c>
      <c r="J95" s="189"/>
      <c r="K95" s="189">
        <v>540000</v>
      </c>
      <c r="L95" s="189">
        <v>181445</v>
      </c>
      <c r="M95" s="189">
        <f>L95/7*5</f>
        <v>129603.57142857143</v>
      </c>
      <c r="N95" s="190">
        <v>650000</v>
      </c>
      <c r="O95" s="190">
        <v>539800</v>
      </c>
      <c r="P95" s="190">
        <f>M95+L95</f>
        <v>311048.57142857142</v>
      </c>
      <c r="Q95" s="190">
        <v>400000</v>
      </c>
      <c r="R95" s="190">
        <f>0.985*137749.24</f>
        <v>135683.00139999998</v>
      </c>
      <c r="S95" s="190">
        <f>R95*2</f>
        <v>271366.00279999996</v>
      </c>
      <c r="T95" s="190">
        <f>S95</f>
        <v>271366.00279999996</v>
      </c>
      <c r="U95" s="190">
        <v>232856</v>
      </c>
      <c r="V95" s="190">
        <f t="shared" si="19"/>
        <v>279427.20000000001</v>
      </c>
      <c r="W95" s="190">
        <v>250000</v>
      </c>
      <c r="X95" s="190">
        <v>240630</v>
      </c>
      <c r="Y95" s="190">
        <v>289000</v>
      </c>
      <c r="Z95" s="190">
        <v>351000</v>
      </c>
      <c r="AA95" s="191">
        <v>376000</v>
      </c>
      <c r="AB95" s="191">
        <v>376000</v>
      </c>
      <c r="AC95" s="219">
        <v>4.25</v>
      </c>
      <c r="AD95" s="88" t="s">
        <v>699</v>
      </c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</row>
    <row r="96" spans="1:256" ht="30" customHeight="1" x14ac:dyDescent="0.25">
      <c r="A96" s="193">
        <v>721002.11</v>
      </c>
      <c r="B96" s="233" t="s">
        <v>603</v>
      </c>
      <c r="C96" s="202"/>
      <c r="D96" s="203"/>
      <c r="E96" s="202"/>
      <c r="F96" s="202"/>
      <c r="G96" s="188"/>
      <c r="H96" s="204"/>
      <c r="I96" s="188"/>
      <c r="J96" s="189"/>
      <c r="K96" s="189"/>
      <c r="L96" s="189"/>
      <c r="M96" s="189"/>
      <c r="N96" s="190"/>
      <c r="O96" s="190"/>
      <c r="P96" s="190"/>
      <c r="Q96" s="190"/>
      <c r="R96" s="190">
        <f>0.98*55157.17</f>
        <v>54054.026599999997</v>
      </c>
      <c r="S96" s="190">
        <f>R96*2</f>
        <v>108108.05319999999</v>
      </c>
      <c r="T96" s="190">
        <f>S96</f>
        <v>108108.05319999999</v>
      </c>
      <c r="U96" s="190">
        <v>88000</v>
      </c>
      <c r="V96" s="190">
        <f t="shared" si="19"/>
        <v>105600</v>
      </c>
      <c r="W96" s="190">
        <v>95520</v>
      </c>
      <c r="X96" s="190">
        <v>96760</v>
      </c>
      <c r="Y96" s="190">
        <v>116000</v>
      </c>
      <c r="Z96" s="190">
        <v>110000</v>
      </c>
      <c r="AA96" s="191">
        <v>90000</v>
      </c>
      <c r="AB96" s="191">
        <v>87000</v>
      </c>
      <c r="AC96" s="219">
        <v>1</v>
      </c>
      <c r="AD96" s="88" t="s">
        <v>699</v>
      </c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</row>
    <row r="97" spans="1:256" ht="30" customHeight="1" x14ac:dyDescent="0.25">
      <c r="A97" s="197">
        <v>721000.78</v>
      </c>
      <c r="B97" s="233" t="s">
        <v>409</v>
      </c>
      <c r="C97" s="202">
        <v>0</v>
      </c>
      <c r="D97" s="203"/>
      <c r="E97" s="202">
        <v>0</v>
      </c>
      <c r="F97" s="202">
        <v>286750</v>
      </c>
      <c r="G97" s="188">
        <v>314000</v>
      </c>
      <c r="H97" s="204">
        <v>916</v>
      </c>
      <c r="I97" s="188">
        <v>41307</v>
      </c>
      <c r="J97" s="189"/>
      <c r="K97" s="189">
        <f t="shared" si="20"/>
        <v>55076</v>
      </c>
      <c r="L97" s="189">
        <v>61994</v>
      </c>
      <c r="M97" s="189">
        <f t="shared" ref="M97:M160" si="41">L97/8*4</f>
        <v>30997</v>
      </c>
      <c r="N97" s="188">
        <v>55000</v>
      </c>
      <c r="O97" s="188">
        <v>68300</v>
      </c>
      <c r="P97" s="188">
        <f>L97+M97</f>
        <v>92991</v>
      </c>
      <c r="Q97" s="188">
        <v>60000</v>
      </c>
      <c r="R97" s="188">
        <v>16592</v>
      </c>
      <c r="S97" s="188">
        <f>R97*2</f>
        <v>33184</v>
      </c>
      <c r="T97" s="188">
        <f>Q97+260000</f>
        <v>320000</v>
      </c>
      <c r="U97" s="188">
        <v>270566</v>
      </c>
      <c r="V97" s="190">
        <f t="shared" si="19"/>
        <v>324679.2</v>
      </c>
      <c r="W97" s="188">
        <v>150000</v>
      </c>
      <c r="X97" s="188">
        <v>185744</v>
      </c>
      <c r="Y97" s="188">
        <v>186000</v>
      </c>
      <c r="Z97" s="188">
        <f>Y97</f>
        <v>186000</v>
      </c>
      <c r="AA97" s="198">
        <v>194000</v>
      </c>
      <c r="AB97" s="205">
        <f>194000+50000</f>
        <v>244000</v>
      </c>
      <c r="AC97" s="220"/>
      <c r="AD97" s="88" t="s">
        <v>699</v>
      </c>
      <c r="AE97" s="5"/>
      <c r="AF97" s="5" t="s">
        <v>709</v>
      </c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</row>
    <row r="98" spans="1:256" ht="30" customHeight="1" x14ac:dyDescent="0.25">
      <c r="A98" s="210"/>
      <c r="B98" s="275" t="s">
        <v>407</v>
      </c>
      <c r="C98" s="211">
        <f t="shared" ref="C98:Q98" si="42">SUM(C94:C97)</f>
        <v>0</v>
      </c>
      <c r="D98" s="211">
        <f t="shared" si="42"/>
        <v>0</v>
      </c>
      <c r="E98" s="211">
        <f t="shared" si="42"/>
        <v>0</v>
      </c>
      <c r="F98" s="211">
        <f t="shared" si="42"/>
        <v>750000</v>
      </c>
      <c r="G98" s="212">
        <f>SUM(G94:G97)</f>
        <v>1034000</v>
      </c>
      <c r="H98" s="212">
        <f t="shared" si="42"/>
        <v>916</v>
      </c>
      <c r="I98" s="212">
        <f t="shared" si="42"/>
        <v>424802</v>
      </c>
      <c r="J98" s="213">
        <f t="shared" si="42"/>
        <v>0</v>
      </c>
      <c r="K98" s="213">
        <f t="shared" si="42"/>
        <v>664712</v>
      </c>
      <c r="L98" s="213">
        <f t="shared" si="42"/>
        <v>358283</v>
      </c>
      <c r="M98" s="213">
        <f t="shared" si="42"/>
        <v>242632</v>
      </c>
      <c r="N98" s="212">
        <f t="shared" si="42"/>
        <v>787000</v>
      </c>
      <c r="O98" s="212">
        <f t="shared" si="42"/>
        <v>800300</v>
      </c>
      <c r="P98" s="212">
        <f t="shared" si="42"/>
        <v>600915</v>
      </c>
      <c r="Q98" s="212">
        <f t="shared" si="42"/>
        <v>650000</v>
      </c>
      <c r="R98" s="212">
        <f t="shared" ref="R98:AC98" si="43">SUM(R94:R97)</f>
        <v>285270.68084999995</v>
      </c>
      <c r="S98" s="212">
        <f t="shared" si="43"/>
        <v>570541.36169999989</v>
      </c>
      <c r="T98" s="212">
        <f t="shared" si="43"/>
        <v>857357.36169999989</v>
      </c>
      <c r="U98" s="212">
        <f t="shared" si="43"/>
        <v>715555</v>
      </c>
      <c r="V98" s="212">
        <f t="shared" si="43"/>
        <v>858666</v>
      </c>
      <c r="W98" s="212">
        <f t="shared" si="43"/>
        <v>653403</v>
      </c>
      <c r="X98" s="212">
        <f t="shared" si="43"/>
        <v>654121</v>
      </c>
      <c r="Y98" s="212">
        <f t="shared" si="43"/>
        <v>748000</v>
      </c>
      <c r="Z98" s="212">
        <f t="shared" si="43"/>
        <v>827000</v>
      </c>
      <c r="AA98" s="211">
        <f t="shared" si="43"/>
        <v>857000</v>
      </c>
      <c r="AB98" s="211">
        <f t="shared" si="43"/>
        <v>902000</v>
      </c>
      <c r="AC98" s="212">
        <f t="shared" si="43"/>
        <v>6.95</v>
      </c>
      <c r="AD98" s="88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</row>
    <row r="99" spans="1:256" ht="30" customHeight="1" x14ac:dyDescent="0.25">
      <c r="A99" s="193">
        <v>722100.11</v>
      </c>
      <c r="B99" s="233" t="s">
        <v>682</v>
      </c>
      <c r="C99" s="202">
        <v>80000</v>
      </c>
      <c r="D99" s="203"/>
      <c r="E99" s="202">
        <v>86565</v>
      </c>
      <c r="F99" s="202">
        <f>85000+5000</f>
        <v>90000</v>
      </c>
      <c r="G99" s="189">
        <v>107770</v>
      </c>
      <c r="H99" s="204">
        <v>78857</v>
      </c>
      <c r="I99" s="189">
        <v>89697</v>
      </c>
      <c r="J99" s="189"/>
      <c r="K99" s="189">
        <f t="shared" si="20"/>
        <v>119596</v>
      </c>
      <c r="L99" s="189">
        <v>71253</v>
      </c>
      <c r="M99" s="189">
        <f>L99/7*5</f>
        <v>50895</v>
      </c>
      <c r="N99" s="190">
        <v>115000</v>
      </c>
      <c r="O99" s="190">
        <v>131800</v>
      </c>
      <c r="P99" s="190">
        <f>M99+L99</f>
        <v>122148</v>
      </c>
      <c r="Q99" s="190">
        <f>O99*1.045</f>
        <v>137731</v>
      </c>
      <c r="R99" s="190">
        <f>0.98*64927.04</f>
        <v>63628.499199999998</v>
      </c>
      <c r="S99" s="190">
        <f>R99*2</f>
        <v>127256.9984</v>
      </c>
      <c r="T99" s="190">
        <f>S99</f>
        <v>127256.9984</v>
      </c>
      <c r="U99" s="190">
        <v>94456</v>
      </c>
      <c r="V99" s="190">
        <f t="shared" si="19"/>
        <v>113347.2</v>
      </c>
      <c r="W99" s="190">
        <v>127257</v>
      </c>
      <c r="X99" s="190">
        <v>6169</v>
      </c>
      <c r="Y99" s="190">
        <v>7500</v>
      </c>
      <c r="Z99" s="190">
        <v>125000</v>
      </c>
      <c r="AA99" s="191"/>
      <c r="AB99" s="221">
        <v>125000</v>
      </c>
      <c r="AC99" s="196"/>
      <c r="AD99" s="88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</row>
    <row r="100" spans="1:256" ht="30" customHeight="1" x14ac:dyDescent="0.25">
      <c r="A100" s="197">
        <v>722100.54</v>
      </c>
      <c r="B100" s="233" t="s">
        <v>683</v>
      </c>
      <c r="C100" s="202">
        <v>10000</v>
      </c>
      <c r="D100" s="203"/>
      <c r="E100" s="202">
        <v>10819</v>
      </c>
      <c r="F100" s="202">
        <v>10000</v>
      </c>
      <c r="G100" s="189">
        <v>11000</v>
      </c>
      <c r="H100" s="204">
        <v>8647</v>
      </c>
      <c r="I100" s="189">
        <v>6880</v>
      </c>
      <c r="J100" s="189"/>
      <c r="K100" s="189">
        <f t="shared" si="20"/>
        <v>9173.3333333333339</v>
      </c>
      <c r="L100" s="189">
        <v>4050</v>
      </c>
      <c r="M100" s="189">
        <f t="shared" si="41"/>
        <v>2025</v>
      </c>
      <c r="N100" s="189">
        <v>10000</v>
      </c>
      <c r="O100" s="188">
        <v>10000</v>
      </c>
      <c r="P100" s="188">
        <f>L100+M100</f>
        <v>6075</v>
      </c>
      <c r="Q100" s="188">
        <f>O100</f>
        <v>10000</v>
      </c>
      <c r="R100" s="188">
        <v>1240</v>
      </c>
      <c r="S100" s="188">
        <f>R100*2</f>
        <v>2480</v>
      </c>
      <c r="T100" s="188">
        <f>Q100</f>
        <v>10000</v>
      </c>
      <c r="U100" s="188">
        <v>3263</v>
      </c>
      <c r="V100" s="190">
        <f t="shared" si="19"/>
        <v>3915.6</v>
      </c>
      <c r="W100" s="188">
        <v>10000</v>
      </c>
      <c r="X100" s="188">
        <v>3359</v>
      </c>
      <c r="Y100" s="188">
        <v>4000</v>
      </c>
      <c r="Z100" s="188">
        <f>Y100</f>
        <v>4000</v>
      </c>
      <c r="AA100" s="198">
        <v>2000</v>
      </c>
      <c r="AB100" s="198">
        <v>2000</v>
      </c>
      <c r="AC100" s="196"/>
      <c r="AD100" s="88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</row>
    <row r="101" spans="1:256" ht="30" customHeight="1" x14ac:dyDescent="0.25">
      <c r="A101" s="214">
        <v>722100.78</v>
      </c>
      <c r="B101" s="232" t="s">
        <v>684</v>
      </c>
      <c r="C101" s="194">
        <v>110000</v>
      </c>
      <c r="D101" s="187"/>
      <c r="E101" s="194">
        <v>92499</v>
      </c>
      <c r="F101" s="194">
        <v>100000</v>
      </c>
      <c r="G101" s="189">
        <f>155000-5000</f>
        <v>150000</v>
      </c>
      <c r="H101" s="195">
        <f>180012-30000</f>
        <v>150012</v>
      </c>
      <c r="I101" s="188">
        <v>39620</v>
      </c>
      <c r="J101" s="189"/>
      <c r="K101" s="189">
        <f t="shared" si="20"/>
        <v>52826.666666666664</v>
      </c>
      <c r="L101" s="189">
        <v>58479</v>
      </c>
      <c r="M101" s="189">
        <f t="shared" si="41"/>
        <v>29239.5</v>
      </c>
      <c r="N101" s="189">
        <v>53000</v>
      </c>
      <c r="O101" s="188">
        <v>53000</v>
      </c>
      <c r="P101" s="188">
        <f>L101+M101</f>
        <v>87718.5</v>
      </c>
      <c r="Q101" s="188">
        <f>O101</f>
        <v>53000</v>
      </c>
      <c r="R101" s="188">
        <v>11509</v>
      </c>
      <c r="S101" s="188">
        <f>R101*2</f>
        <v>23018</v>
      </c>
      <c r="T101" s="188">
        <f>Q101</f>
        <v>53000</v>
      </c>
      <c r="U101" s="188">
        <v>18302</v>
      </c>
      <c r="V101" s="190">
        <f t="shared" si="19"/>
        <v>21962.400000000001</v>
      </c>
      <c r="W101" s="188">
        <v>20000</v>
      </c>
      <c r="X101" s="188">
        <v>16898</v>
      </c>
      <c r="Y101" s="188">
        <v>20000</v>
      </c>
      <c r="Z101" s="188">
        <f>Y101</f>
        <v>20000</v>
      </c>
      <c r="AA101" s="198">
        <v>14000</v>
      </c>
      <c r="AB101" s="198">
        <v>14000</v>
      </c>
      <c r="AC101" s="196"/>
      <c r="AD101" s="88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</row>
    <row r="102" spans="1:256" ht="30" customHeight="1" x14ac:dyDescent="0.25">
      <c r="A102" s="214">
        <v>723000.81099999999</v>
      </c>
      <c r="B102" s="232" t="s">
        <v>248</v>
      </c>
      <c r="C102" s="194">
        <v>50000</v>
      </c>
      <c r="D102" s="187"/>
      <c r="E102" s="194">
        <v>120000</v>
      </c>
      <c r="F102" s="194">
        <v>150000</v>
      </c>
      <c r="G102" s="188">
        <v>150000</v>
      </c>
      <c r="H102" s="195">
        <v>103534</v>
      </c>
      <c r="I102" s="188">
        <v>112286</v>
      </c>
      <c r="J102" s="189"/>
      <c r="K102" s="189">
        <v>150000</v>
      </c>
      <c r="L102" s="189">
        <v>131327</v>
      </c>
      <c r="M102" s="189">
        <f t="shared" si="41"/>
        <v>65663.5</v>
      </c>
      <c r="N102" s="188">
        <v>150000</v>
      </c>
      <c r="O102" s="188">
        <v>150000</v>
      </c>
      <c r="P102" s="188">
        <f>L102+M102</f>
        <v>196990.5</v>
      </c>
      <c r="Q102" s="188">
        <v>174000</v>
      </c>
      <c r="R102" s="188">
        <f>174000/2</f>
        <v>87000</v>
      </c>
      <c r="S102" s="188">
        <v>174000</v>
      </c>
      <c r="T102" s="188">
        <f>Q102</f>
        <v>174000</v>
      </c>
      <c r="U102" s="188">
        <v>173049</v>
      </c>
      <c r="V102" s="190">
        <f t="shared" si="19"/>
        <v>207658.8</v>
      </c>
      <c r="W102" s="188">
        <v>174000</v>
      </c>
      <c r="X102" s="188">
        <v>186501</v>
      </c>
      <c r="Y102" s="188">
        <v>186500</v>
      </c>
      <c r="Z102" s="188">
        <f>Y102</f>
        <v>186500</v>
      </c>
      <c r="AA102" s="198">
        <v>186500</v>
      </c>
      <c r="AB102" s="198">
        <v>186500</v>
      </c>
      <c r="AC102" s="196"/>
      <c r="AD102" s="88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</row>
    <row r="103" spans="1:256" ht="30" customHeight="1" x14ac:dyDescent="0.25">
      <c r="A103" s="214">
        <v>723100.81099999999</v>
      </c>
      <c r="B103" s="232" t="s">
        <v>701</v>
      </c>
      <c r="C103" s="194"/>
      <c r="D103" s="187"/>
      <c r="E103" s="194"/>
      <c r="F103" s="194"/>
      <c r="G103" s="188"/>
      <c r="H103" s="195"/>
      <c r="I103" s="188"/>
      <c r="J103" s="189"/>
      <c r="K103" s="189"/>
      <c r="L103" s="189"/>
      <c r="M103" s="189"/>
      <c r="N103" s="188"/>
      <c r="O103" s="188"/>
      <c r="P103" s="188"/>
      <c r="Q103" s="188"/>
      <c r="R103" s="188"/>
      <c r="S103" s="188"/>
      <c r="T103" s="188"/>
      <c r="U103" s="188"/>
      <c r="V103" s="190"/>
      <c r="W103" s="188"/>
      <c r="X103" s="188"/>
      <c r="Y103" s="188"/>
      <c r="Z103" s="188"/>
      <c r="AA103" s="198"/>
      <c r="AB103" s="198">
        <v>85700</v>
      </c>
      <c r="AC103" s="196"/>
      <c r="AD103" s="88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</row>
    <row r="104" spans="1:256" ht="30" customHeight="1" x14ac:dyDescent="0.25">
      <c r="A104" s="214">
        <v>724000.83</v>
      </c>
      <c r="B104" s="232" t="s">
        <v>241</v>
      </c>
      <c r="C104" s="194">
        <v>569000</v>
      </c>
      <c r="D104" s="187"/>
      <c r="E104" s="194">
        <v>569250</v>
      </c>
      <c r="F104" s="194">
        <v>589732</v>
      </c>
      <c r="G104" s="188">
        <v>600000</v>
      </c>
      <c r="H104" s="195">
        <v>383787</v>
      </c>
      <c r="I104" s="188">
        <v>435487</v>
      </c>
      <c r="J104" s="189"/>
      <c r="K104" s="189">
        <v>600000</v>
      </c>
      <c r="L104" s="189">
        <v>300000</v>
      </c>
      <c r="M104" s="189">
        <v>300000</v>
      </c>
      <c r="N104" s="188">
        <v>600000</v>
      </c>
      <c r="O104" s="188">
        <f>M104+L104</f>
        <v>600000</v>
      </c>
      <c r="P104" s="188">
        <f>L104+M104</f>
        <v>600000</v>
      </c>
      <c r="Q104" s="188">
        <f>500000-150000</f>
        <v>350000</v>
      </c>
      <c r="R104" s="188">
        <f>250000-97000</f>
        <v>153000</v>
      </c>
      <c r="S104" s="188">
        <v>350000</v>
      </c>
      <c r="T104" s="188">
        <f>Q104</f>
        <v>350000</v>
      </c>
      <c r="U104" s="188">
        <v>250000</v>
      </c>
      <c r="V104" s="190">
        <v>350000</v>
      </c>
      <c r="W104" s="188">
        <v>400000</v>
      </c>
      <c r="X104" s="188">
        <f>400000*10/12</f>
        <v>333333.33333333331</v>
      </c>
      <c r="Y104" s="188">
        <f>X104*12/10</f>
        <v>400000</v>
      </c>
      <c r="Z104" s="188">
        <f>Y104</f>
        <v>400000</v>
      </c>
      <c r="AA104" s="198">
        <v>400000</v>
      </c>
      <c r="AB104" s="198">
        <v>400000</v>
      </c>
      <c r="AC104" s="196"/>
      <c r="AD104" s="88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</row>
    <row r="105" spans="1:256" ht="30" customHeight="1" x14ac:dyDescent="0.25">
      <c r="A105" s="210"/>
      <c r="B105" s="275" t="s">
        <v>3</v>
      </c>
      <c r="C105" s="211">
        <f t="shared" ref="C105:AC105" si="44">SUM(C99:C104)+C98</f>
        <v>819000</v>
      </c>
      <c r="D105" s="211">
        <f t="shared" si="44"/>
        <v>0</v>
      </c>
      <c r="E105" s="211">
        <f t="shared" si="44"/>
        <v>879133</v>
      </c>
      <c r="F105" s="211">
        <f t="shared" si="44"/>
        <v>1689732</v>
      </c>
      <c r="G105" s="212">
        <f t="shared" si="44"/>
        <v>2052770</v>
      </c>
      <c r="H105" s="212">
        <f t="shared" si="44"/>
        <v>725753</v>
      </c>
      <c r="I105" s="212">
        <f t="shared" si="44"/>
        <v>1108772</v>
      </c>
      <c r="J105" s="213">
        <f t="shared" si="44"/>
        <v>0</v>
      </c>
      <c r="K105" s="213">
        <f t="shared" si="44"/>
        <v>1596308</v>
      </c>
      <c r="L105" s="213">
        <f t="shared" si="44"/>
        <v>923392</v>
      </c>
      <c r="M105" s="213">
        <f t="shared" si="44"/>
        <v>690455</v>
      </c>
      <c r="N105" s="212">
        <f t="shared" si="44"/>
        <v>1715000</v>
      </c>
      <c r="O105" s="212">
        <f t="shared" si="44"/>
        <v>1745100</v>
      </c>
      <c r="P105" s="212">
        <f t="shared" si="44"/>
        <v>1613847</v>
      </c>
      <c r="Q105" s="212">
        <f t="shared" si="44"/>
        <v>1374731</v>
      </c>
      <c r="R105" s="212">
        <f t="shared" si="44"/>
        <v>601648.18004999985</v>
      </c>
      <c r="S105" s="212">
        <f t="shared" si="44"/>
        <v>1247296.3600999997</v>
      </c>
      <c r="T105" s="212">
        <f t="shared" si="44"/>
        <v>1571614.3600999997</v>
      </c>
      <c r="U105" s="212">
        <f t="shared" si="44"/>
        <v>1254625</v>
      </c>
      <c r="V105" s="212">
        <f t="shared" si="44"/>
        <v>1555550</v>
      </c>
      <c r="W105" s="212">
        <f t="shared" si="44"/>
        <v>1384660</v>
      </c>
      <c r="X105" s="212">
        <f t="shared" si="44"/>
        <v>1200381.3333333333</v>
      </c>
      <c r="Y105" s="212">
        <f t="shared" si="44"/>
        <v>1366000</v>
      </c>
      <c r="Z105" s="212">
        <f t="shared" si="44"/>
        <v>1562500</v>
      </c>
      <c r="AA105" s="211">
        <f t="shared" si="44"/>
        <v>1459500</v>
      </c>
      <c r="AB105" s="211">
        <f t="shared" si="44"/>
        <v>1715200</v>
      </c>
      <c r="AC105" s="212">
        <f t="shared" si="44"/>
        <v>6.95</v>
      </c>
      <c r="AD105" s="88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</row>
    <row r="106" spans="1:256" ht="30" customHeight="1" x14ac:dyDescent="0.25">
      <c r="A106" s="193">
        <v>731000.11</v>
      </c>
      <c r="B106" s="232" t="s">
        <v>27</v>
      </c>
      <c r="C106" s="194">
        <v>1150000</v>
      </c>
      <c r="D106" s="187"/>
      <c r="E106" s="194">
        <v>1105065</v>
      </c>
      <c r="F106" s="194">
        <v>1120000</v>
      </c>
      <c r="G106" s="188">
        <v>1300000</v>
      </c>
      <c r="H106" s="195">
        <v>909766</v>
      </c>
      <c r="I106" s="188">
        <v>976578</v>
      </c>
      <c r="J106" s="189"/>
      <c r="K106" s="189">
        <f t="shared" si="20"/>
        <v>1302104</v>
      </c>
      <c r="L106" s="189">
        <v>808887</v>
      </c>
      <c r="M106" s="189">
        <f>L106/7*5</f>
        <v>577776.42857142852</v>
      </c>
      <c r="N106" s="190">
        <v>1244000</v>
      </c>
      <c r="O106" s="190">
        <v>1354400</v>
      </c>
      <c r="P106" s="190">
        <f>M106+L106</f>
        <v>1386663.4285714286</v>
      </c>
      <c r="Q106" s="190">
        <f>O106*1.045-67000*4/3*1.045-161000*4/3*1.045+1393+20000</f>
        <v>1119061</v>
      </c>
      <c r="R106" s="190">
        <f>0.985*577748.63</f>
        <v>569082.40055000002</v>
      </c>
      <c r="S106" s="190">
        <f>R106*2</f>
        <v>1138164.8011</v>
      </c>
      <c r="T106" s="190">
        <f>S106</f>
        <v>1138164.8011</v>
      </c>
      <c r="U106" s="190">
        <v>945545</v>
      </c>
      <c r="V106" s="190">
        <f t="shared" si="19"/>
        <v>1134654</v>
      </c>
      <c r="W106" s="190">
        <v>1149547</v>
      </c>
      <c r="X106" s="190">
        <v>967846</v>
      </c>
      <c r="Y106" s="190">
        <v>1155000</v>
      </c>
      <c r="Z106" s="190">
        <v>1165000</v>
      </c>
      <c r="AA106" s="191">
        <v>1335000</v>
      </c>
      <c r="AB106" s="191">
        <v>1358000</v>
      </c>
      <c r="AC106" s="196">
        <v>5</v>
      </c>
      <c r="AD106" s="88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</row>
    <row r="107" spans="1:256" ht="30" customHeight="1" x14ac:dyDescent="0.25">
      <c r="A107" s="214">
        <v>731000.52099999995</v>
      </c>
      <c r="B107" s="232" t="s">
        <v>379</v>
      </c>
      <c r="C107" s="194">
        <v>6000</v>
      </c>
      <c r="D107" s="187"/>
      <c r="E107" s="194">
        <v>825</v>
      </c>
      <c r="F107" s="194">
        <v>5000</v>
      </c>
      <c r="G107" s="188">
        <v>0</v>
      </c>
      <c r="H107" s="195">
        <v>0</v>
      </c>
      <c r="I107" s="188"/>
      <c r="J107" s="189"/>
      <c r="K107" s="189">
        <f t="shared" si="20"/>
        <v>0</v>
      </c>
      <c r="L107" s="189">
        <v>4100</v>
      </c>
      <c r="M107" s="189">
        <f t="shared" si="41"/>
        <v>2050</v>
      </c>
      <c r="N107" s="188"/>
      <c r="O107" s="188">
        <v>4100</v>
      </c>
      <c r="P107" s="188">
        <f t="shared" ref="P107:P114" si="45">L107+M107</f>
        <v>6150</v>
      </c>
      <c r="Q107" s="188">
        <v>10000</v>
      </c>
      <c r="R107" s="188">
        <v>3189</v>
      </c>
      <c r="S107" s="188">
        <f t="shared" ref="S107:S114" si="46">R107*2</f>
        <v>6378</v>
      </c>
      <c r="T107" s="188">
        <f>Q107</f>
        <v>10000</v>
      </c>
      <c r="U107" s="188">
        <v>5731</v>
      </c>
      <c r="V107" s="190">
        <f t="shared" si="19"/>
        <v>6877.2</v>
      </c>
      <c r="W107" s="188">
        <v>15000</v>
      </c>
      <c r="X107" s="188">
        <v>7490</v>
      </c>
      <c r="Y107" s="188">
        <v>9000</v>
      </c>
      <c r="Z107" s="188">
        <f t="shared" ref="Z107:Z115" si="47">Y107</f>
        <v>9000</v>
      </c>
      <c r="AA107" s="198">
        <v>6000</v>
      </c>
      <c r="AB107" s="198">
        <v>6000</v>
      </c>
      <c r="AC107" s="196"/>
      <c r="AD107" s="88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</row>
    <row r="108" spans="1:256" ht="30" customHeight="1" x14ac:dyDescent="0.25">
      <c r="A108" s="214">
        <v>731000.54</v>
      </c>
      <c r="B108" s="232" t="s">
        <v>44</v>
      </c>
      <c r="C108" s="194">
        <v>27000</v>
      </c>
      <c r="D108" s="187"/>
      <c r="E108" s="194">
        <v>23630</v>
      </c>
      <c r="F108" s="194">
        <v>25000</v>
      </c>
      <c r="G108" s="188">
        <v>30000</v>
      </c>
      <c r="H108" s="195">
        <v>27727</v>
      </c>
      <c r="I108" s="188">
        <v>15496</v>
      </c>
      <c r="J108" s="189"/>
      <c r="K108" s="189">
        <f t="shared" si="20"/>
        <v>20661.333333333332</v>
      </c>
      <c r="L108" s="189">
        <v>12636</v>
      </c>
      <c r="M108" s="189">
        <f t="shared" si="41"/>
        <v>6318</v>
      </c>
      <c r="N108" s="188">
        <v>25000</v>
      </c>
      <c r="O108" s="188">
        <v>19600</v>
      </c>
      <c r="P108" s="188">
        <f t="shared" si="45"/>
        <v>18954</v>
      </c>
      <c r="Q108" s="188">
        <f>O108</f>
        <v>19600</v>
      </c>
      <c r="R108" s="188">
        <v>4146</v>
      </c>
      <c r="S108" s="188">
        <f t="shared" si="46"/>
        <v>8292</v>
      </c>
      <c r="T108" s="188">
        <v>10000</v>
      </c>
      <c r="U108" s="188">
        <v>11115</v>
      </c>
      <c r="V108" s="190">
        <f t="shared" ref="V108:V171" si="48">U108*12/10</f>
        <v>13338</v>
      </c>
      <c r="W108" s="188">
        <v>12000</v>
      </c>
      <c r="X108" s="188">
        <v>16910</v>
      </c>
      <c r="Y108" s="188">
        <v>20000</v>
      </c>
      <c r="Z108" s="188">
        <f t="shared" si="47"/>
        <v>20000</v>
      </c>
      <c r="AA108" s="198">
        <v>12000</v>
      </c>
      <c r="AB108" s="198">
        <v>12000</v>
      </c>
      <c r="AC108" s="196"/>
      <c r="AD108" s="88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</row>
    <row r="109" spans="1:256" ht="30" customHeight="1" x14ac:dyDescent="0.25">
      <c r="A109" s="214">
        <v>731000.56</v>
      </c>
      <c r="B109" s="232" t="s">
        <v>28</v>
      </c>
      <c r="C109" s="194">
        <v>3000</v>
      </c>
      <c r="D109" s="187"/>
      <c r="E109" s="194">
        <v>3332</v>
      </c>
      <c r="F109" s="194">
        <v>3000</v>
      </c>
      <c r="G109" s="188">
        <v>7000</v>
      </c>
      <c r="H109" s="195">
        <v>5024</v>
      </c>
      <c r="I109" s="188">
        <v>4404</v>
      </c>
      <c r="J109" s="189"/>
      <c r="K109" s="189">
        <f t="shared" si="20"/>
        <v>5872</v>
      </c>
      <c r="L109" s="189">
        <v>2818</v>
      </c>
      <c r="M109" s="189">
        <f t="shared" si="41"/>
        <v>1409</v>
      </c>
      <c r="N109" s="188">
        <v>6000</v>
      </c>
      <c r="O109" s="188">
        <v>4300</v>
      </c>
      <c r="P109" s="188">
        <f t="shared" si="45"/>
        <v>4227</v>
      </c>
      <c r="Q109" s="188">
        <f>O109</f>
        <v>4300</v>
      </c>
      <c r="R109" s="188">
        <v>1300</v>
      </c>
      <c r="S109" s="188">
        <f t="shared" si="46"/>
        <v>2600</v>
      </c>
      <c r="T109" s="188">
        <f>Q109</f>
        <v>4300</v>
      </c>
      <c r="U109" s="188">
        <v>8553</v>
      </c>
      <c r="V109" s="190">
        <f t="shared" si="48"/>
        <v>10263.6</v>
      </c>
      <c r="W109" s="188">
        <v>10000</v>
      </c>
      <c r="X109" s="188">
        <v>950</v>
      </c>
      <c r="Y109" s="188">
        <v>1000</v>
      </c>
      <c r="Z109" s="188">
        <f t="shared" si="47"/>
        <v>1000</v>
      </c>
      <c r="AA109" s="198"/>
      <c r="AB109" s="198"/>
      <c r="AC109" s="196"/>
      <c r="AD109" s="88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</row>
    <row r="110" spans="1:256" ht="30" customHeight="1" x14ac:dyDescent="0.25">
      <c r="A110" s="214">
        <v>731000.74</v>
      </c>
      <c r="B110" s="232" t="s">
        <v>66</v>
      </c>
      <c r="C110" s="194">
        <v>3000</v>
      </c>
      <c r="D110" s="187"/>
      <c r="E110" s="194">
        <v>13001</v>
      </c>
      <c r="F110" s="194">
        <v>12000</v>
      </c>
      <c r="G110" s="188">
        <v>2200</v>
      </c>
      <c r="H110" s="195">
        <v>0</v>
      </c>
      <c r="I110" s="188">
        <v>1085</v>
      </c>
      <c r="J110" s="189"/>
      <c r="K110" s="189">
        <f t="shared" ref="K110:K184" si="49">I110*4/3</f>
        <v>1446.6666666666667</v>
      </c>
      <c r="L110" s="189">
        <v>500</v>
      </c>
      <c r="M110" s="189">
        <f t="shared" si="41"/>
        <v>250</v>
      </c>
      <c r="N110" s="188">
        <v>2200</v>
      </c>
      <c r="O110" s="188">
        <v>2200</v>
      </c>
      <c r="P110" s="188">
        <f t="shared" si="45"/>
        <v>750</v>
      </c>
      <c r="Q110" s="188">
        <v>35000</v>
      </c>
      <c r="R110" s="188">
        <v>24394</v>
      </c>
      <c r="S110" s="188">
        <f t="shared" si="46"/>
        <v>48788</v>
      </c>
      <c r="T110" s="188">
        <v>48788</v>
      </c>
      <c r="U110" s="188">
        <v>24394</v>
      </c>
      <c r="V110" s="190">
        <f t="shared" si="48"/>
        <v>29272.799999999999</v>
      </c>
      <c r="W110" s="188">
        <v>49500</v>
      </c>
      <c r="X110" s="188">
        <v>30000</v>
      </c>
      <c r="Y110" s="188">
        <f>X110*12/10</f>
        <v>36000</v>
      </c>
      <c r="Z110" s="188">
        <f t="shared" si="47"/>
        <v>36000</v>
      </c>
      <c r="AA110" s="198">
        <v>22000</v>
      </c>
      <c r="AB110" s="198">
        <v>22000</v>
      </c>
      <c r="AC110" s="196"/>
      <c r="AD110" s="88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</row>
    <row r="111" spans="1:256" ht="30" customHeight="1" x14ac:dyDescent="0.25">
      <c r="A111" s="214">
        <v>731000.75</v>
      </c>
      <c r="B111" s="232" t="s">
        <v>45</v>
      </c>
      <c r="C111" s="194">
        <v>180000</v>
      </c>
      <c r="D111" s="187"/>
      <c r="E111" s="194">
        <v>146733</v>
      </c>
      <c r="F111" s="194">
        <v>150000</v>
      </c>
      <c r="G111" s="189">
        <f>110000-5000</f>
        <v>105000</v>
      </c>
      <c r="H111" s="195">
        <f>28318+15000</f>
        <v>43318</v>
      </c>
      <c r="I111" s="188">
        <v>105000</v>
      </c>
      <c r="J111" s="189"/>
      <c r="K111" s="189">
        <f t="shared" si="49"/>
        <v>140000</v>
      </c>
      <c r="L111" s="189">
        <v>81652</v>
      </c>
      <c r="M111" s="189">
        <f t="shared" si="41"/>
        <v>40826</v>
      </c>
      <c r="N111" s="189">
        <v>105000</v>
      </c>
      <c r="O111" s="188">
        <v>96700</v>
      </c>
      <c r="P111" s="188">
        <f t="shared" si="45"/>
        <v>122478</v>
      </c>
      <c r="Q111" s="188">
        <f t="shared" ref="Q111:Q115" si="50">O111</f>
        <v>96700</v>
      </c>
      <c r="R111" s="188">
        <v>49386</v>
      </c>
      <c r="S111" s="188">
        <f t="shared" si="46"/>
        <v>98772</v>
      </c>
      <c r="T111" s="188">
        <v>98772</v>
      </c>
      <c r="U111" s="188">
        <v>66128</v>
      </c>
      <c r="V111" s="190">
        <f t="shared" si="48"/>
        <v>79353.600000000006</v>
      </c>
      <c r="W111" s="188">
        <v>102700</v>
      </c>
      <c r="X111" s="188">
        <v>18390</v>
      </c>
      <c r="Y111" s="188">
        <v>22000</v>
      </c>
      <c r="Z111" s="188">
        <f t="shared" si="47"/>
        <v>22000</v>
      </c>
      <c r="AA111" s="198">
        <v>33000</v>
      </c>
      <c r="AB111" s="198">
        <v>33000</v>
      </c>
      <c r="AC111" s="196"/>
      <c r="AD111" s="88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</row>
    <row r="112" spans="1:256" ht="30" customHeight="1" x14ac:dyDescent="0.25">
      <c r="A112" s="214">
        <v>731000.78</v>
      </c>
      <c r="B112" s="232" t="s">
        <v>67</v>
      </c>
      <c r="C112" s="194">
        <v>15000</v>
      </c>
      <c r="D112" s="187"/>
      <c r="E112" s="194">
        <v>18203</v>
      </c>
      <c r="F112" s="194">
        <v>15000</v>
      </c>
      <c r="G112" s="188">
        <v>40000</v>
      </c>
      <c r="H112" s="195">
        <v>29254</v>
      </c>
      <c r="I112" s="188">
        <v>36793</v>
      </c>
      <c r="J112" s="189"/>
      <c r="K112" s="189">
        <f t="shared" si="49"/>
        <v>49057.333333333336</v>
      </c>
      <c r="L112" s="189">
        <v>41896</v>
      </c>
      <c r="M112" s="189">
        <f t="shared" si="41"/>
        <v>20948</v>
      </c>
      <c r="N112" s="188">
        <v>50000</v>
      </c>
      <c r="O112" s="188">
        <v>50000</v>
      </c>
      <c r="P112" s="188">
        <f t="shared" si="45"/>
        <v>62844</v>
      </c>
      <c r="Q112" s="188">
        <f t="shared" si="50"/>
        <v>50000</v>
      </c>
      <c r="R112" s="188">
        <v>7542</v>
      </c>
      <c r="S112" s="188">
        <f t="shared" si="46"/>
        <v>15084</v>
      </c>
      <c r="T112" s="188">
        <v>25000</v>
      </c>
      <c r="U112" s="188">
        <v>19949</v>
      </c>
      <c r="V112" s="190">
        <f t="shared" si="48"/>
        <v>23938.799999999999</v>
      </c>
      <c r="W112" s="188">
        <v>25000</v>
      </c>
      <c r="X112" s="188">
        <v>24385</v>
      </c>
      <c r="Y112" s="188">
        <v>29000</v>
      </c>
      <c r="Z112" s="188">
        <f t="shared" si="47"/>
        <v>29000</v>
      </c>
      <c r="AA112" s="198">
        <v>36000</v>
      </c>
      <c r="AB112" s="198">
        <v>36000</v>
      </c>
      <c r="AC112" s="196"/>
      <c r="AD112" s="88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</row>
    <row r="113" spans="1:256" ht="30" customHeight="1" x14ac:dyDescent="0.25">
      <c r="A113" s="214">
        <v>732100.75</v>
      </c>
      <c r="B113" s="232" t="s">
        <v>69</v>
      </c>
      <c r="C113" s="194">
        <v>90000</v>
      </c>
      <c r="D113" s="187"/>
      <c r="E113" s="194">
        <v>139314</v>
      </c>
      <c r="F113" s="194">
        <v>100000</v>
      </c>
      <c r="G113" s="189">
        <f>150000-5000</f>
        <v>145000</v>
      </c>
      <c r="H113" s="195">
        <v>118726</v>
      </c>
      <c r="I113" s="188">
        <v>121153</v>
      </c>
      <c r="J113" s="189"/>
      <c r="K113" s="189">
        <f t="shared" si="49"/>
        <v>161537.33333333334</v>
      </c>
      <c r="L113" s="189">
        <v>147904</v>
      </c>
      <c r="M113" s="189">
        <f t="shared" si="41"/>
        <v>73952</v>
      </c>
      <c r="N113" s="189">
        <v>170000</v>
      </c>
      <c r="O113" s="188">
        <v>170000</v>
      </c>
      <c r="P113" s="188">
        <f t="shared" si="45"/>
        <v>221856</v>
      </c>
      <c r="Q113" s="188">
        <v>217000</v>
      </c>
      <c r="R113" s="188">
        <v>161229</v>
      </c>
      <c r="S113" s="188">
        <f t="shared" si="46"/>
        <v>322458</v>
      </c>
      <c r="T113" s="188">
        <v>322458</v>
      </c>
      <c r="U113" s="188">
        <v>201585</v>
      </c>
      <c r="V113" s="190">
        <f t="shared" si="48"/>
        <v>241902</v>
      </c>
      <c r="W113" s="188">
        <v>300000</v>
      </c>
      <c r="X113" s="188">
        <v>76429</v>
      </c>
      <c r="Y113" s="188">
        <v>100000</v>
      </c>
      <c r="Z113" s="188">
        <f t="shared" si="47"/>
        <v>100000</v>
      </c>
      <c r="AA113" s="198">
        <v>140000</v>
      </c>
      <c r="AB113" s="198">
        <v>140000</v>
      </c>
      <c r="AC113" s="196"/>
      <c r="AD113" s="88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</row>
    <row r="114" spans="1:256" ht="30" customHeight="1" x14ac:dyDescent="0.25">
      <c r="A114" s="214">
        <v>733100.78</v>
      </c>
      <c r="B114" s="232" t="s">
        <v>68</v>
      </c>
      <c r="C114" s="194">
        <v>70000</v>
      </c>
      <c r="D114" s="187"/>
      <c r="E114" s="194">
        <v>38631</v>
      </c>
      <c r="F114" s="194">
        <v>45000</v>
      </c>
      <c r="G114" s="189">
        <v>17000</v>
      </c>
      <c r="H114" s="195">
        <v>11987</v>
      </c>
      <c r="I114" s="188">
        <v>0</v>
      </c>
      <c r="J114" s="189"/>
      <c r="K114" s="189">
        <f t="shared" si="49"/>
        <v>0</v>
      </c>
      <c r="L114" s="189">
        <v>10499</v>
      </c>
      <c r="M114" s="189">
        <f t="shared" si="41"/>
        <v>5249.5</v>
      </c>
      <c r="N114" s="189">
        <v>10000</v>
      </c>
      <c r="O114" s="188">
        <v>10500</v>
      </c>
      <c r="P114" s="188">
        <f t="shared" si="45"/>
        <v>15748.5</v>
      </c>
      <c r="Q114" s="188">
        <f t="shared" si="50"/>
        <v>10500</v>
      </c>
      <c r="R114" s="188">
        <v>43260</v>
      </c>
      <c r="S114" s="188">
        <f t="shared" si="46"/>
        <v>86520</v>
      </c>
      <c r="T114" s="188">
        <v>86520</v>
      </c>
      <c r="U114" s="188">
        <v>11107</v>
      </c>
      <c r="V114" s="190">
        <f t="shared" si="48"/>
        <v>13328.4</v>
      </c>
      <c r="W114" s="188">
        <v>15000</v>
      </c>
      <c r="X114" s="188">
        <v>9072</v>
      </c>
      <c r="Y114" s="188">
        <v>11000</v>
      </c>
      <c r="Z114" s="188">
        <f t="shared" si="47"/>
        <v>11000</v>
      </c>
      <c r="AA114" s="198"/>
      <c r="AB114" s="198"/>
      <c r="AC114" s="196"/>
      <c r="AD114" s="88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</row>
    <row r="115" spans="1:256" ht="30" customHeight="1" x14ac:dyDescent="0.25">
      <c r="A115" s="214">
        <v>733300.75</v>
      </c>
      <c r="B115" s="232" t="s">
        <v>443</v>
      </c>
      <c r="C115" s="194"/>
      <c r="D115" s="187"/>
      <c r="E115" s="194"/>
      <c r="F115" s="194"/>
      <c r="G115" s="189">
        <v>2000000</v>
      </c>
      <c r="H115" s="195"/>
      <c r="I115" s="188">
        <v>1505137</v>
      </c>
      <c r="J115" s="189"/>
      <c r="K115" s="189">
        <v>2000000</v>
      </c>
      <c r="L115" s="189">
        <v>0</v>
      </c>
      <c r="M115" s="189">
        <f t="shared" si="41"/>
        <v>0</v>
      </c>
      <c r="N115" s="189">
        <v>2000000</v>
      </c>
      <c r="O115" s="189">
        <v>2000000</v>
      </c>
      <c r="P115" s="188">
        <v>1500000</v>
      </c>
      <c r="Q115" s="188">
        <f t="shared" si="50"/>
        <v>2000000</v>
      </c>
      <c r="R115" s="188">
        <f>1000000-300000</f>
        <v>700000</v>
      </c>
      <c r="S115" s="188">
        <v>2000000</v>
      </c>
      <c r="T115" s="188">
        <f>Q115</f>
        <v>2000000</v>
      </c>
      <c r="U115" s="188">
        <v>1667000</v>
      </c>
      <c r="V115" s="190">
        <v>2000000</v>
      </c>
      <c r="W115" s="188">
        <v>2000000</v>
      </c>
      <c r="X115" s="188">
        <v>800000</v>
      </c>
      <c r="Y115" s="188">
        <v>1000000</v>
      </c>
      <c r="Z115" s="188">
        <f t="shared" si="47"/>
        <v>1000000</v>
      </c>
      <c r="AA115" s="198">
        <v>1000000</v>
      </c>
      <c r="AB115" s="205">
        <v>1000000</v>
      </c>
      <c r="AC115" s="196"/>
      <c r="AD115" s="88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</row>
    <row r="116" spans="1:256" ht="30" customHeight="1" x14ac:dyDescent="0.25">
      <c r="A116" s="214">
        <v>733300.78</v>
      </c>
      <c r="B116" s="232" t="s">
        <v>718</v>
      </c>
      <c r="C116" s="194"/>
      <c r="D116" s="187"/>
      <c r="E116" s="194"/>
      <c r="F116" s="194"/>
      <c r="G116" s="189"/>
      <c r="H116" s="195"/>
      <c r="I116" s="188"/>
      <c r="J116" s="189"/>
      <c r="K116" s="189"/>
      <c r="L116" s="189"/>
      <c r="M116" s="189"/>
      <c r="N116" s="189"/>
      <c r="O116" s="189"/>
      <c r="P116" s="188"/>
      <c r="Q116" s="188"/>
      <c r="R116" s="188"/>
      <c r="S116" s="188"/>
      <c r="T116" s="188"/>
      <c r="U116" s="188"/>
      <c r="V116" s="190"/>
      <c r="W116" s="188"/>
      <c r="X116" s="188"/>
      <c r="Y116" s="188"/>
      <c r="Z116" s="188"/>
      <c r="AA116" s="198"/>
      <c r="AB116" s="205">
        <v>150000</v>
      </c>
      <c r="AC116" s="196"/>
      <c r="AD116" s="88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</row>
    <row r="117" spans="1:256" ht="30" customHeight="1" x14ac:dyDescent="0.25">
      <c r="A117" s="222"/>
      <c r="B117" s="275" t="s">
        <v>4</v>
      </c>
      <c r="C117" s="211">
        <f>SUM(C106:C114)</f>
        <v>1544000</v>
      </c>
      <c r="D117" s="211">
        <f>SUM(D106:D114)</f>
        <v>0</v>
      </c>
      <c r="E117" s="211">
        <f>SUM(E106:E114)</f>
        <v>1488734</v>
      </c>
      <c r="F117" s="211">
        <f t="shared" ref="F117:Y117" si="51">SUM(F106:F115)</f>
        <v>1475000</v>
      </c>
      <c r="G117" s="212">
        <f t="shared" si="51"/>
        <v>3646200</v>
      </c>
      <c r="H117" s="212">
        <f t="shared" si="51"/>
        <v>1145802</v>
      </c>
      <c r="I117" s="212">
        <f t="shared" si="51"/>
        <v>2765646</v>
      </c>
      <c r="J117" s="213">
        <f t="shared" si="51"/>
        <v>0</v>
      </c>
      <c r="K117" s="213">
        <f t="shared" si="51"/>
        <v>3680678.6666666665</v>
      </c>
      <c r="L117" s="213">
        <f t="shared" si="51"/>
        <v>1110892</v>
      </c>
      <c r="M117" s="213">
        <f t="shared" si="51"/>
        <v>728778.92857142852</v>
      </c>
      <c r="N117" s="212">
        <f t="shared" si="51"/>
        <v>3612200</v>
      </c>
      <c r="O117" s="212">
        <f t="shared" si="51"/>
        <v>3711800</v>
      </c>
      <c r="P117" s="212">
        <f t="shared" si="51"/>
        <v>3339670.9285714286</v>
      </c>
      <c r="Q117" s="212">
        <f t="shared" si="51"/>
        <v>3562161</v>
      </c>
      <c r="R117" s="212">
        <f t="shared" si="51"/>
        <v>1563528.4005499999</v>
      </c>
      <c r="S117" s="212">
        <f t="shared" si="51"/>
        <v>3727056.8010999998</v>
      </c>
      <c r="T117" s="212">
        <f t="shared" si="51"/>
        <v>3744002.8010999998</v>
      </c>
      <c r="U117" s="212">
        <f t="shared" si="51"/>
        <v>2961107</v>
      </c>
      <c r="V117" s="212">
        <f t="shared" si="51"/>
        <v>3552928.4000000004</v>
      </c>
      <c r="W117" s="212">
        <f t="shared" si="51"/>
        <v>3678747</v>
      </c>
      <c r="X117" s="212">
        <f t="shared" si="51"/>
        <v>1951472</v>
      </c>
      <c r="Y117" s="212">
        <f t="shared" si="51"/>
        <v>2383000</v>
      </c>
      <c r="Z117" s="212">
        <f>SUM(Z106:Z116)</f>
        <v>2393000</v>
      </c>
      <c r="AA117" s="211">
        <f>SUM(AA106:AA116)</f>
        <v>2584000</v>
      </c>
      <c r="AB117" s="211">
        <f>SUM(AB106:AB116)</f>
        <v>2757000</v>
      </c>
      <c r="AC117" s="212">
        <f>SUM(AC106:AC115)</f>
        <v>5</v>
      </c>
      <c r="AD117" s="88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</row>
    <row r="118" spans="1:256" s="50" customFormat="1" ht="30" customHeight="1" x14ac:dyDescent="0.25">
      <c r="A118" s="193">
        <v>741000.11</v>
      </c>
      <c r="B118" s="233" t="s">
        <v>445</v>
      </c>
      <c r="C118" s="223"/>
      <c r="D118" s="224"/>
      <c r="E118" s="223"/>
      <c r="F118" s="223"/>
      <c r="G118" s="189">
        <v>670000</v>
      </c>
      <c r="H118" s="213"/>
      <c r="I118" s="189">
        <v>587658</v>
      </c>
      <c r="J118" s="217"/>
      <c r="K118" s="189">
        <f t="shared" si="49"/>
        <v>783544</v>
      </c>
      <c r="L118" s="189">
        <v>462340</v>
      </c>
      <c r="M118" s="189">
        <f>L118/7*5</f>
        <v>330242.85714285716</v>
      </c>
      <c r="N118" s="190">
        <v>724000</v>
      </c>
      <c r="O118" s="190">
        <v>758000</v>
      </c>
      <c r="P118" s="190">
        <f>M118+L118</f>
        <v>792582.85714285716</v>
      </c>
      <c r="Q118" s="190">
        <f>O118*1.045</f>
        <v>792110</v>
      </c>
      <c r="R118" s="190">
        <f>0.98*425149.41</f>
        <v>416646.42179999995</v>
      </c>
      <c r="S118" s="190">
        <f>R118*2</f>
        <v>833292.84359999991</v>
      </c>
      <c r="T118" s="190">
        <f>S118</f>
        <v>833292.84359999991</v>
      </c>
      <c r="U118" s="190">
        <v>678541</v>
      </c>
      <c r="V118" s="190">
        <f t="shared" si="48"/>
        <v>814249.2</v>
      </c>
      <c r="W118" s="190">
        <v>803293</v>
      </c>
      <c r="X118" s="190">
        <f>Y118*10/12</f>
        <v>683333.33333333337</v>
      </c>
      <c r="Y118" s="190">
        <v>820000</v>
      </c>
      <c r="Z118" s="190">
        <f>819900+100000-99600-103400</f>
        <v>716900</v>
      </c>
      <c r="AA118" s="191">
        <v>852000</v>
      </c>
      <c r="AB118" s="191">
        <v>909000</v>
      </c>
      <c r="AC118" s="219">
        <v>7</v>
      </c>
      <c r="AD118" s="89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  <c r="BD118" s="66"/>
      <c r="BE118" s="66"/>
      <c r="BF118" s="66"/>
      <c r="BG118" s="66"/>
      <c r="BH118" s="66"/>
      <c r="BI118" s="66"/>
      <c r="BJ118" s="66"/>
      <c r="BK118" s="66"/>
      <c r="BL118" s="66"/>
      <c r="BM118" s="66"/>
      <c r="BN118" s="66"/>
      <c r="BO118" s="66"/>
      <c r="BP118" s="66"/>
      <c r="BQ118" s="66"/>
      <c r="BR118" s="66"/>
      <c r="BS118" s="66"/>
      <c r="BT118" s="66"/>
      <c r="BU118" s="66"/>
      <c r="BV118" s="66"/>
      <c r="BW118" s="66"/>
      <c r="BX118" s="66"/>
      <c r="BY118" s="66"/>
      <c r="BZ118" s="66"/>
      <c r="CA118" s="66"/>
      <c r="CB118" s="66"/>
      <c r="CC118" s="66"/>
      <c r="CD118" s="66"/>
      <c r="CE118" s="66"/>
      <c r="CF118" s="66"/>
      <c r="CG118" s="66"/>
      <c r="CH118" s="66"/>
      <c r="CI118" s="66"/>
      <c r="CJ118" s="66"/>
      <c r="CK118" s="66"/>
      <c r="CL118" s="66"/>
      <c r="CM118" s="66"/>
      <c r="CN118" s="66"/>
      <c r="CO118" s="66"/>
      <c r="CP118" s="66"/>
      <c r="CQ118" s="66"/>
      <c r="CR118" s="66"/>
      <c r="CS118" s="66"/>
      <c r="CT118" s="66"/>
      <c r="CU118" s="66"/>
      <c r="CV118" s="66"/>
      <c r="CW118" s="66"/>
      <c r="CX118" s="66"/>
      <c r="CY118" s="66"/>
      <c r="CZ118" s="66"/>
      <c r="DA118" s="66"/>
      <c r="DB118" s="66"/>
      <c r="DC118" s="66"/>
      <c r="DD118" s="66"/>
      <c r="DE118" s="66"/>
      <c r="DF118" s="66"/>
      <c r="DG118" s="66"/>
      <c r="DH118" s="66"/>
      <c r="DI118" s="66"/>
      <c r="DJ118" s="66"/>
      <c r="DK118" s="66"/>
      <c r="DL118" s="66"/>
      <c r="DM118" s="66"/>
      <c r="DN118" s="66"/>
      <c r="DO118" s="66"/>
      <c r="DP118" s="66"/>
      <c r="DQ118" s="66"/>
      <c r="DR118" s="66"/>
      <c r="DS118" s="66"/>
      <c r="DT118" s="66"/>
      <c r="DU118" s="66"/>
      <c r="DV118" s="66"/>
      <c r="DW118" s="66"/>
      <c r="DX118" s="66"/>
      <c r="DY118" s="66"/>
      <c r="DZ118" s="66"/>
      <c r="EA118" s="66"/>
      <c r="EB118" s="66"/>
      <c r="EC118" s="66"/>
      <c r="ED118" s="66"/>
      <c r="EE118" s="66"/>
      <c r="EF118" s="66"/>
      <c r="EG118" s="66"/>
      <c r="EH118" s="66"/>
      <c r="EI118" s="66"/>
      <c r="EJ118" s="66"/>
      <c r="EK118" s="66"/>
      <c r="EL118" s="66"/>
      <c r="EM118" s="66"/>
      <c r="EN118" s="66"/>
      <c r="EO118" s="66"/>
      <c r="EP118" s="66"/>
      <c r="EQ118" s="66"/>
      <c r="ER118" s="66"/>
      <c r="ES118" s="66"/>
      <c r="ET118" s="66"/>
      <c r="EU118" s="66"/>
      <c r="EV118" s="66"/>
      <c r="EW118" s="66"/>
      <c r="EX118" s="66"/>
      <c r="EY118" s="66"/>
      <c r="EZ118" s="66"/>
      <c r="FA118" s="66"/>
      <c r="FB118" s="66"/>
      <c r="FC118" s="66"/>
      <c r="FD118" s="66"/>
      <c r="FE118" s="66"/>
      <c r="FF118" s="66"/>
      <c r="FG118" s="66"/>
      <c r="FH118" s="66"/>
      <c r="FI118" s="66"/>
      <c r="FJ118" s="66"/>
      <c r="FK118" s="66"/>
      <c r="FL118" s="66"/>
      <c r="FM118" s="66"/>
      <c r="FN118" s="66"/>
      <c r="FO118" s="66"/>
      <c r="FP118" s="66"/>
      <c r="FQ118" s="66"/>
      <c r="FR118" s="66"/>
      <c r="FS118" s="66"/>
      <c r="FT118" s="66"/>
      <c r="FU118" s="66"/>
      <c r="FV118" s="66"/>
      <c r="FW118" s="66"/>
      <c r="FX118" s="66"/>
      <c r="FY118" s="66"/>
      <c r="FZ118" s="66"/>
      <c r="GA118" s="66"/>
      <c r="GB118" s="66"/>
      <c r="GC118" s="66"/>
      <c r="GD118" s="66"/>
      <c r="GE118" s="66"/>
      <c r="GF118" s="66"/>
      <c r="GG118" s="66"/>
      <c r="GH118" s="66"/>
      <c r="GI118" s="66"/>
      <c r="GJ118" s="66"/>
      <c r="GK118" s="66"/>
      <c r="GL118" s="66"/>
      <c r="GM118" s="66"/>
      <c r="GN118" s="66"/>
      <c r="GO118" s="66"/>
      <c r="GP118" s="66"/>
      <c r="GQ118" s="66"/>
      <c r="GR118" s="66"/>
      <c r="GS118" s="66"/>
      <c r="GT118" s="66"/>
      <c r="GU118" s="66"/>
      <c r="GV118" s="66"/>
      <c r="GW118" s="66"/>
      <c r="GX118" s="66"/>
      <c r="GY118" s="66"/>
      <c r="GZ118" s="66"/>
      <c r="HA118" s="66"/>
      <c r="HB118" s="66"/>
      <c r="HC118" s="66"/>
      <c r="HD118" s="66"/>
      <c r="HE118" s="66"/>
      <c r="HF118" s="66"/>
      <c r="HG118" s="66"/>
      <c r="HH118" s="66"/>
      <c r="HI118" s="66"/>
      <c r="HJ118" s="66"/>
      <c r="HK118" s="66"/>
      <c r="HL118" s="66"/>
      <c r="HM118" s="66"/>
      <c r="HN118" s="66"/>
      <c r="HO118" s="66"/>
      <c r="HP118" s="66"/>
      <c r="HQ118" s="66"/>
      <c r="HR118" s="66"/>
      <c r="HS118" s="66"/>
      <c r="HT118" s="66"/>
      <c r="HU118" s="66"/>
      <c r="HV118" s="66"/>
      <c r="HW118" s="66"/>
      <c r="HX118" s="66"/>
      <c r="HY118" s="66"/>
      <c r="HZ118" s="66"/>
      <c r="IA118" s="66"/>
      <c r="IB118" s="66"/>
      <c r="IC118" s="66"/>
      <c r="ID118" s="66"/>
      <c r="IE118" s="66"/>
      <c r="IF118" s="66"/>
      <c r="IG118" s="66"/>
      <c r="IH118" s="66"/>
      <c r="II118" s="66"/>
      <c r="IJ118" s="66"/>
      <c r="IK118" s="66"/>
      <c r="IL118" s="66"/>
      <c r="IM118" s="66"/>
      <c r="IN118" s="66"/>
      <c r="IO118" s="66"/>
      <c r="IP118" s="66"/>
      <c r="IQ118" s="66"/>
      <c r="IR118" s="66"/>
      <c r="IS118" s="66"/>
      <c r="IT118" s="66"/>
      <c r="IU118" s="66"/>
      <c r="IV118" s="66"/>
    </row>
    <row r="119" spans="1:256" ht="30" customHeight="1" x14ac:dyDescent="0.25">
      <c r="A119" s="193">
        <v>742200.11</v>
      </c>
      <c r="B119" s="233" t="s">
        <v>70</v>
      </c>
      <c r="C119" s="202">
        <v>100000</v>
      </c>
      <c r="D119" s="203"/>
      <c r="E119" s="202">
        <v>105168</v>
      </c>
      <c r="F119" s="202">
        <v>131000</v>
      </c>
      <c r="G119" s="189">
        <v>122700</v>
      </c>
      <c r="H119" s="204">
        <v>89835</v>
      </c>
      <c r="I119" s="189">
        <v>95597</v>
      </c>
      <c r="J119" s="189"/>
      <c r="K119" s="189">
        <f t="shared" si="49"/>
        <v>127462.66666666667</v>
      </c>
      <c r="L119" s="189">
        <v>88018</v>
      </c>
      <c r="M119" s="189">
        <f>L119/7*5</f>
        <v>62870</v>
      </c>
      <c r="N119" s="190">
        <v>122000</v>
      </c>
      <c r="O119" s="190">
        <v>145600</v>
      </c>
      <c r="P119" s="190">
        <f>M119+L119</f>
        <v>150888</v>
      </c>
      <c r="Q119" s="190">
        <f>O119*1.045</f>
        <v>152152</v>
      </c>
      <c r="R119" s="190">
        <f>0.98*51149.2</f>
        <v>50126.215999999993</v>
      </c>
      <c r="S119" s="190">
        <f>R119*2</f>
        <v>100252.43199999999</v>
      </c>
      <c r="T119" s="190">
        <f>S119</f>
        <v>100252.43199999999</v>
      </c>
      <c r="U119" s="190">
        <v>87062</v>
      </c>
      <c r="V119" s="190">
        <f t="shared" si="48"/>
        <v>104474.4</v>
      </c>
      <c r="W119" s="190">
        <v>100252</v>
      </c>
      <c r="X119" s="190">
        <v>99021</v>
      </c>
      <c r="Y119" s="190">
        <v>125000</v>
      </c>
      <c r="Z119" s="190">
        <v>181600</v>
      </c>
      <c r="AA119" s="191">
        <v>127000</v>
      </c>
      <c r="AB119" s="191">
        <v>114000</v>
      </c>
      <c r="AC119" s="196">
        <v>1</v>
      </c>
      <c r="AD119" s="88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</row>
    <row r="120" spans="1:256" ht="30" customHeight="1" x14ac:dyDescent="0.25">
      <c r="A120" s="197">
        <v>741000.41</v>
      </c>
      <c r="B120" s="233" t="s">
        <v>640</v>
      </c>
      <c r="C120" s="202"/>
      <c r="D120" s="203"/>
      <c r="E120" s="202"/>
      <c r="F120" s="202"/>
      <c r="G120" s="189"/>
      <c r="H120" s="204"/>
      <c r="I120" s="189"/>
      <c r="J120" s="189"/>
      <c r="K120" s="189"/>
      <c r="L120" s="189"/>
      <c r="M120" s="189"/>
      <c r="N120" s="189"/>
      <c r="O120" s="189"/>
      <c r="P120" s="188"/>
      <c r="Q120" s="188"/>
      <c r="R120" s="188"/>
      <c r="S120" s="188"/>
      <c r="T120" s="188"/>
      <c r="U120" s="188"/>
      <c r="V120" s="190"/>
      <c r="W120" s="188"/>
      <c r="X120" s="188">
        <v>29160</v>
      </c>
      <c r="Y120" s="188">
        <v>35000</v>
      </c>
      <c r="Z120" s="188">
        <f t="shared" ref="Z120:Z144" si="52">Y120</f>
        <v>35000</v>
      </c>
      <c r="AA120" s="198">
        <v>24000</v>
      </c>
      <c r="AB120" s="198">
        <v>24000</v>
      </c>
      <c r="AC120" s="196"/>
      <c r="AD120" s="88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</row>
    <row r="121" spans="1:256" ht="30" customHeight="1" x14ac:dyDescent="0.25">
      <c r="A121" s="197">
        <v>741000.53</v>
      </c>
      <c r="B121" s="233" t="s">
        <v>641</v>
      </c>
      <c r="C121" s="202"/>
      <c r="D121" s="203"/>
      <c r="E121" s="202"/>
      <c r="F121" s="202"/>
      <c r="G121" s="189"/>
      <c r="H121" s="204"/>
      <c r="I121" s="189"/>
      <c r="J121" s="189"/>
      <c r="K121" s="189"/>
      <c r="L121" s="189"/>
      <c r="M121" s="189"/>
      <c r="N121" s="189"/>
      <c r="O121" s="189"/>
      <c r="P121" s="188"/>
      <c r="Q121" s="188"/>
      <c r="R121" s="188"/>
      <c r="S121" s="188"/>
      <c r="T121" s="188"/>
      <c r="U121" s="188"/>
      <c r="V121" s="190"/>
      <c r="W121" s="188"/>
      <c r="X121" s="188">
        <v>10735</v>
      </c>
      <c r="Y121" s="188">
        <v>13000</v>
      </c>
      <c r="Z121" s="188">
        <f t="shared" si="52"/>
        <v>13000</v>
      </c>
      <c r="AA121" s="198">
        <v>54000</v>
      </c>
      <c r="AB121" s="198">
        <v>54000</v>
      </c>
      <c r="AC121" s="196"/>
      <c r="AD121" s="88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</row>
    <row r="122" spans="1:256" ht="30" customHeight="1" x14ac:dyDescent="0.25">
      <c r="A122" s="197">
        <v>741000.54</v>
      </c>
      <c r="B122" s="233" t="s">
        <v>642</v>
      </c>
      <c r="C122" s="202"/>
      <c r="D122" s="203"/>
      <c r="E122" s="202"/>
      <c r="F122" s="202"/>
      <c r="G122" s="189"/>
      <c r="H122" s="204"/>
      <c r="I122" s="189"/>
      <c r="J122" s="189"/>
      <c r="K122" s="189"/>
      <c r="L122" s="189"/>
      <c r="M122" s="189"/>
      <c r="N122" s="189"/>
      <c r="O122" s="189"/>
      <c r="P122" s="188"/>
      <c r="Q122" s="188"/>
      <c r="R122" s="188"/>
      <c r="S122" s="188"/>
      <c r="T122" s="188"/>
      <c r="U122" s="188"/>
      <c r="V122" s="190"/>
      <c r="W122" s="188"/>
      <c r="X122" s="188">
        <v>9547</v>
      </c>
      <c r="Y122" s="188">
        <v>11500</v>
      </c>
      <c r="Z122" s="188">
        <f t="shared" si="52"/>
        <v>11500</v>
      </c>
      <c r="AA122" s="198">
        <v>11000</v>
      </c>
      <c r="AB122" s="198">
        <v>11000</v>
      </c>
      <c r="AC122" s="196"/>
      <c r="AD122" s="88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</row>
    <row r="123" spans="1:256" ht="30" customHeight="1" x14ac:dyDescent="0.25">
      <c r="A123" s="197">
        <v>741000.73100000003</v>
      </c>
      <c r="B123" s="233" t="s">
        <v>643</v>
      </c>
      <c r="C123" s="202"/>
      <c r="D123" s="203"/>
      <c r="E123" s="202"/>
      <c r="F123" s="202"/>
      <c r="G123" s="189"/>
      <c r="H123" s="204"/>
      <c r="I123" s="189"/>
      <c r="J123" s="189"/>
      <c r="K123" s="189"/>
      <c r="L123" s="189"/>
      <c r="M123" s="189"/>
      <c r="N123" s="189"/>
      <c r="O123" s="189"/>
      <c r="P123" s="188"/>
      <c r="Q123" s="188"/>
      <c r="R123" s="188"/>
      <c r="S123" s="188"/>
      <c r="T123" s="188"/>
      <c r="U123" s="188"/>
      <c r="V123" s="190"/>
      <c r="W123" s="188"/>
      <c r="X123" s="188">
        <v>28875</v>
      </c>
      <c r="Y123" s="188">
        <v>35000</v>
      </c>
      <c r="Z123" s="188">
        <f t="shared" si="52"/>
        <v>35000</v>
      </c>
      <c r="AA123" s="198"/>
      <c r="AB123" s="198"/>
      <c r="AC123" s="196"/>
      <c r="AD123" s="88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</row>
    <row r="124" spans="1:256" ht="30" customHeight="1" x14ac:dyDescent="0.25">
      <c r="A124" s="197">
        <v>742200.72</v>
      </c>
      <c r="B124" s="233" t="s">
        <v>242</v>
      </c>
      <c r="C124" s="202">
        <v>230000</v>
      </c>
      <c r="D124" s="203"/>
      <c r="E124" s="202">
        <v>19864</v>
      </c>
      <c r="F124" s="202">
        <v>70000</v>
      </c>
      <c r="G124" s="189">
        <f>70000-2000+5000</f>
        <v>73000</v>
      </c>
      <c r="H124" s="204">
        <v>51485</v>
      </c>
      <c r="I124" s="189">
        <v>64535</v>
      </c>
      <c r="J124" s="189"/>
      <c r="K124" s="189">
        <f t="shared" si="49"/>
        <v>86046.666666666672</v>
      </c>
      <c r="L124" s="189">
        <v>86936</v>
      </c>
      <c r="M124" s="189">
        <f t="shared" si="41"/>
        <v>43468</v>
      </c>
      <c r="N124" s="189">
        <v>87000</v>
      </c>
      <c r="O124" s="189">
        <v>87000</v>
      </c>
      <c r="P124" s="188">
        <f>L124+M124</f>
        <v>130404</v>
      </c>
      <c r="Q124" s="188">
        <f>O124</f>
        <v>87000</v>
      </c>
      <c r="R124" s="188">
        <v>14677</v>
      </c>
      <c r="S124" s="188">
        <f>R124*2</f>
        <v>29354</v>
      </c>
      <c r="T124" s="188">
        <v>45000</v>
      </c>
      <c r="U124" s="188">
        <v>34550</v>
      </c>
      <c r="V124" s="190">
        <f t="shared" si="48"/>
        <v>41460</v>
      </c>
      <c r="W124" s="188">
        <v>40000</v>
      </c>
      <c r="X124" s="188">
        <v>19398</v>
      </c>
      <c r="Y124" s="188">
        <v>23000</v>
      </c>
      <c r="Z124" s="188">
        <f t="shared" si="52"/>
        <v>23000</v>
      </c>
      <c r="AA124" s="198">
        <v>52000</v>
      </c>
      <c r="AB124" s="198">
        <v>52000</v>
      </c>
      <c r="AC124" s="196"/>
      <c r="AD124" s="88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</row>
    <row r="125" spans="1:256" ht="30" customHeight="1" x14ac:dyDescent="0.25">
      <c r="A125" s="214">
        <v>742200.75</v>
      </c>
      <c r="B125" s="232" t="s">
        <v>243</v>
      </c>
      <c r="C125" s="194">
        <v>1250000</v>
      </c>
      <c r="D125" s="187"/>
      <c r="E125" s="194">
        <v>818757</v>
      </c>
      <c r="F125" s="194">
        <v>1050000</v>
      </c>
      <c r="G125" s="189">
        <v>750000</v>
      </c>
      <c r="H125" s="195">
        <v>692336</v>
      </c>
      <c r="I125" s="188">
        <v>750000</v>
      </c>
      <c r="J125" s="189"/>
      <c r="K125" s="189">
        <v>750000</v>
      </c>
      <c r="L125" s="189">
        <v>805932</v>
      </c>
      <c r="M125" s="189">
        <f t="shared" si="41"/>
        <v>402966</v>
      </c>
      <c r="N125" s="189">
        <v>800000</v>
      </c>
      <c r="O125" s="189">
        <v>826000</v>
      </c>
      <c r="P125" s="188">
        <f>L125+M125</f>
        <v>1208898</v>
      </c>
      <c r="Q125" s="188">
        <f>602000-100000</f>
        <v>502000</v>
      </c>
      <c r="R125" s="188">
        <v>271561</v>
      </c>
      <c r="S125" s="188">
        <f>R125*2</f>
        <v>543122</v>
      </c>
      <c r="T125" s="188">
        <v>543122</v>
      </c>
      <c r="U125" s="188">
        <v>613742</v>
      </c>
      <c r="V125" s="190">
        <f t="shared" si="48"/>
        <v>736490.4</v>
      </c>
      <c r="W125" s="188">
        <v>650000</v>
      </c>
      <c r="X125" s="188">
        <v>547793</v>
      </c>
      <c r="Y125" s="188">
        <v>650000</v>
      </c>
      <c r="Z125" s="188">
        <f t="shared" si="52"/>
        <v>650000</v>
      </c>
      <c r="AA125" s="198">
        <v>700000</v>
      </c>
      <c r="AB125" s="198">
        <v>550000</v>
      </c>
      <c r="AC125" s="196"/>
      <c r="AD125" s="88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</row>
    <row r="126" spans="1:256" ht="30" customHeight="1" x14ac:dyDescent="0.25">
      <c r="A126" s="214">
        <v>742200.78</v>
      </c>
      <c r="B126" s="232" t="s">
        <v>244</v>
      </c>
      <c r="C126" s="194">
        <v>150000</v>
      </c>
      <c r="D126" s="187"/>
      <c r="E126" s="194">
        <v>40648</v>
      </c>
      <c r="F126" s="194">
        <v>90000</v>
      </c>
      <c r="G126" s="189">
        <f>25000-5000</f>
        <v>20000</v>
      </c>
      <c r="H126" s="195">
        <v>12039</v>
      </c>
      <c r="I126" s="188">
        <v>4772</v>
      </c>
      <c r="J126" s="189"/>
      <c r="K126" s="189">
        <f t="shared" si="49"/>
        <v>6362.666666666667</v>
      </c>
      <c r="L126" s="189">
        <v>49487</v>
      </c>
      <c r="M126" s="189">
        <f t="shared" si="41"/>
        <v>24743.5</v>
      </c>
      <c r="N126" s="189">
        <v>80000</v>
      </c>
      <c r="O126" s="189">
        <v>80400</v>
      </c>
      <c r="P126" s="188">
        <f>L126+M126</f>
        <v>74230.5</v>
      </c>
      <c r="Q126" s="188">
        <v>200000</v>
      </c>
      <c r="R126" s="188">
        <v>29755</v>
      </c>
      <c r="S126" s="188">
        <f>R126*2</f>
        <v>59510</v>
      </c>
      <c r="T126" s="188">
        <v>100000</v>
      </c>
      <c r="U126" s="188">
        <v>77801</v>
      </c>
      <c r="V126" s="190">
        <f t="shared" si="48"/>
        <v>93361.2</v>
      </c>
      <c r="W126" s="188">
        <f>268587</f>
        <v>268587</v>
      </c>
      <c r="X126" s="188">
        <v>69112</v>
      </c>
      <c r="Y126" s="188">
        <v>268000</v>
      </c>
      <c r="Z126" s="188">
        <v>350000</v>
      </c>
      <c r="AA126" s="198">
        <v>350000</v>
      </c>
      <c r="AB126" s="198">
        <v>350000</v>
      </c>
      <c r="AC126" s="196"/>
      <c r="AD126" s="88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</row>
    <row r="127" spans="1:256" ht="30" customHeight="1" x14ac:dyDescent="0.25">
      <c r="A127" s="222"/>
      <c r="B127" s="275" t="s">
        <v>71</v>
      </c>
      <c r="C127" s="211">
        <f>SUM(C119:C126)</f>
        <v>1730000</v>
      </c>
      <c r="D127" s="211">
        <f>SUM(D119:D126)</f>
        <v>0</v>
      </c>
      <c r="E127" s="211">
        <f>SUM(E119:E126)</f>
        <v>984437</v>
      </c>
      <c r="F127" s="211">
        <f>SUM(F119:F126)</f>
        <v>1341000</v>
      </c>
      <c r="G127" s="212">
        <f>SUM(G118:G126)</f>
        <v>1635700</v>
      </c>
      <c r="H127" s="212">
        <f t="shared" ref="H127:M127" si="53">SUM(H118:H126)</f>
        <v>845695</v>
      </c>
      <c r="I127" s="212">
        <f t="shared" si="53"/>
        <v>1502562</v>
      </c>
      <c r="J127" s="213">
        <f t="shared" si="53"/>
        <v>0</v>
      </c>
      <c r="K127" s="213">
        <f t="shared" si="53"/>
        <v>1753416</v>
      </c>
      <c r="L127" s="213">
        <f>SUM(L118:L126)</f>
        <v>1492713</v>
      </c>
      <c r="M127" s="213">
        <f t="shared" si="53"/>
        <v>864290.35714285716</v>
      </c>
      <c r="N127" s="212">
        <f t="shared" ref="N127:T127" si="54">SUM(N118:N126)</f>
        <v>1813000</v>
      </c>
      <c r="O127" s="212">
        <f t="shared" si="54"/>
        <v>1897000</v>
      </c>
      <c r="P127" s="212">
        <f t="shared" si="54"/>
        <v>2357003.3571428573</v>
      </c>
      <c r="Q127" s="212">
        <f>SUM(Q118:Q126)</f>
        <v>1733262</v>
      </c>
      <c r="R127" s="212">
        <f>SUM(R118:R126)</f>
        <v>782765.63779999991</v>
      </c>
      <c r="S127" s="212">
        <f t="shared" si="54"/>
        <v>1565531.2755999998</v>
      </c>
      <c r="T127" s="212">
        <f t="shared" si="54"/>
        <v>1621667.2755999998</v>
      </c>
      <c r="U127" s="212">
        <f t="shared" ref="U127:AC127" si="55">SUM(U118:U126)</f>
        <v>1491696</v>
      </c>
      <c r="V127" s="212">
        <f t="shared" si="55"/>
        <v>1790035.2</v>
      </c>
      <c r="W127" s="212">
        <f t="shared" si="55"/>
        <v>1862132</v>
      </c>
      <c r="X127" s="212">
        <f t="shared" si="55"/>
        <v>1496974.3333333335</v>
      </c>
      <c r="Y127" s="212">
        <f t="shared" si="55"/>
        <v>1980500</v>
      </c>
      <c r="Z127" s="212">
        <f t="shared" si="55"/>
        <v>2016000</v>
      </c>
      <c r="AA127" s="211">
        <f t="shared" si="55"/>
        <v>2170000</v>
      </c>
      <c r="AB127" s="211">
        <f t="shared" si="55"/>
        <v>2064000</v>
      </c>
      <c r="AC127" s="212">
        <f t="shared" si="55"/>
        <v>8</v>
      </c>
      <c r="AD127" s="88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</row>
    <row r="128" spans="1:256" ht="30" customHeight="1" x14ac:dyDescent="0.25">
      <c r="A128" s="214"/>
      <c r="B128" s="232"/>
      <c r="C128" s="194"/>
      <c r="D128" s="187"/>
      <c r="E128" s="194"/>
      <c r="F128" s="194"/>
      <c r="G128" s="188"/>
      <c r="H128" s="195"/>
      <c r="I128" s="188"/>
      <c r="J128" s="189"/>
      <c r="K128" s="189"/>
      <c r="L128" s="189"/>
      <c r="M128" s="189"/>
      <c r="N128" s="188"/>
      <c r="O128" s="188"/>
      <c r="P128" s="188"/>
      <c r="Q128" s="188"/>
      <c r="R128" s="188"/>
      <c r="S128" s="188"/>
      <c r="T128" s="188"/>
      <c r="U128" s="188"/>
      <c r="V128" s="190"/>
      <c r="W128" s="188"/>
      <c r="X128" s="188"/>
      <c r="Y128" s="188"/>
      <c r="Z128" s="188"/>
      <c r="AA128" s="198"/>
      <c r="AB128" s="198"/>
      <c r="AC128" s="196"/>
      <c r="AD128" s="88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</row>
    <row r="129" spans="1:256" ht="30" customHeight="1" x14ac:dyDescent="0.25">
      <c r="A129" s="197">
        <v>743000.75</v>
      </c>
      <c r="B129" s="233" t="s">
        <v>72</v>
      </c>
      <c r="C129" s="202">
        <v>300000</v>
      </c>
      <c r="D129" s="203"/>
      <c r="E129" s="202">
        <v>270492</v>
      </c>
      <c r="F129" s="202">
        <v>300000</v>
      </c>
      <c r="G129" s="189">
        <f>200000+150000</f>
        <v>350000</v>
      </c>
      <c r="H129" s="204">
        <f>90411</f>
        <v>90411</v>
      </c>
      <c r="I129" s="189">
        <v>188228</v>
      </c>
      <c r="J129" s="189"/>
      <c r="K129" s="189">
        <f t="shared" si="49"/>
        <v>250970.66666666666</v>
      </c>
      <c r="L129" s="189">
        <v>208930</v>
      </c>
      <c r="M129" s="189">
        <f t="shared" si="41"/>
        <v>104465</v>
      </c>
      <c r="N129" s="189">
        <v>311000</v>
      </c>
      <c r="O129" s="189">
        <v>311000</v>
      </c>
      <c r="P129" s="188">
        <f t="shared" ref="P129:P136" si="56">L129+M129</f>
        <v>313395</v>
      </c>
      <c r="Q129" s="188">
        <f>300000+30000-30000</f>
        <v>300000</v>
      </c>
      <c r="R129" s="188">
        <v>128505</v>
      </c>
      <c r="S129" s="188">
        <f t="shared" ref="S129:S136" si="57">R129*2</f>
        <v>257010</v>
      </c>
      <c r="T129" s="188">
        <f t="shared" ref="T129:T135" si="58">Q129</f>
        <v>300000</v>
      </c>
      <c r="U129" s="188">
        <v>250832</v>
      </c>
      <c r="V129" s="190">
        <f t="shared" si="48"/>
        <v>300998.40000000002</v>
      </c>
      <c r="W129" s="188">
        <v>350000</v>
      </c>
      <c r="X129" s="188">
        <v>153100</v>
      </c>
      <c r="Y129" s="188">
        <v>200000</v>
      </c>
      <c r="Z129" s="188">
        <f t="shared" si="52"/>
        <v>200000</v>
      </c>
      <c r="AA129" s="198">
        <v>306000</v>
      </c>
      <c r="AB129" s="198">
        <v>250000</v>
      </c>
      <c r="AC129" s="196"/>
      <c r="AD129" s="88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</row>
    <row r="130" spans="1:256" ht="30" customHeight="1" x14ac:dyDescent="0.25">
      <c r="A130" s="197">
        <v>743000.77099999995</v>
      </c>
      <c r="B130" s="233" t="s">
        <v>73</v>
      </c>
      <c r="C130" s="202">
        <v>280000</v>
      </c>
      <c r="D130" s="203"/>
      <c r="E130" s="202">
        <f>739208-200000</f>
        <v>539208</v>
      </c>
      <c r="F130" s="202">
        <v>400000</v>
      </c>
      <c r="G130" s="189">
        <v>450000</v>
      </c>
      <c r="H130" s="204">
        <f>197188+50000</f>
        <v>247188</v>
      </c>
      <c r="I130" s="189">
        <v>320000</v>
      </c>
      <c r="J130" s="189"/>
      <c r="K130" s="189">
        <v>450000</v>
      </c>
      <c r="L130" s="189">
        <v>335257</v>
      </c>
      <c r="M130" s="189">
        <f t="shared" si="41"/>
        <v>167628.5</v>
      </c>
      <c r="N130" s="189">
        <v>450000</v>
      </c>
      <c r="O130" s="189">
        <v>614700</v>
      </c>
      <c r="P130" s="188">
        <f t="shared" si="56"/>
        <v>502885.5</v>
      </c>
      <c r="Q130" s="188">
        <f>O130</f>
        <v>614700</v>
      </c>
      <c r="R130" s="188">
        <v>265395</v>
      </c>
      <c r="S130" s="188">
        <f t="shared" si="57"/>
        <v>530790</v>
      </c>
      <c r="T130" s="188">
        <v>550000</v>
      </c>
      <c r="U130" s="188">
        <v>477780</v>
      </c>
      <c r="V130" s="190">
        <f t="shared" si="48"/>
        <v>573336</v>
      </c>
      <c r="W130" s="188">
        <v>550000</v>
      </c>
      <c r="X130" s="188">
        <v>412483</v>
      </c>
      <c r="Y130" s="188">
        <v>550000</v>
      </c>
      <c r="Z130" s="188">
        <f t="shared" si="52"/>
        <v>550000</v>
      </c>
      <c r="AA130" s="198">
        <v>500000</v>
      </c>
      <c r="AB130" s="198">
        <v>500000</v>
      </c>
      <c r="AC130" s="196"/>
      <c r="AD130" s="88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</row>
    <row r="131" spans="1:256" ht="30" customHeight="1" x14ac:dyDescent="0.25">
      <c r="A131" s="197">
        <v>745000.72</v>
      </c>
      <c r="B131" s="233" t="s">
        <v>74</v>
      </c>
      <c r="C131" s="202">
        <v>10000</v>
      </c>
      <c r="D131" s="203"/>
      <c r="E131" s="202">
        <v>5000</v>
      </c>
      <c r="F131" s="202">
        <v>10000</v>
      </c>
      <c r="G131" s="189">
        <v>1000</v>
      </c>
      <c r="H131" s="204">
        <v>0</v>
      </c>
      <c r="I131" s="189">
        <v>0</v>
      </c>
      <c r="J131" s="189"/>
      <c r="K131" s="189">
        <f t="shared" si="49"/>
        <v>0</v>
      </c>
      <c r="L131" s="189"/>
      <c r="M131" s="189">
        <f t="shared" si="41"/>
        <v>0</v>
      </c>
      <c r="N131" s="189">
        <v>99000</v>
      </c>
      <c r="O131" s="189">
        <v>99000</v>
      </c>
      <c r="P131" s="188">
        <f t="shared" si="56"/>
        <v>0</v>
      </c>
      <c r="Q131" s="188">
        <f>O131</f>
        <v>99000</v>
      </c>
      <c r="R131" s="188">
        <v>20952</v>
      </c>
      <c r="S131" s="188">
        <f t="shared" si="57"/>
        <v>41904</v>
      </c>
      <c r="T131" s="188">
        <v>55000</v>
      </c>
      <c r="U131" s="188">
        <v>49692</v>
      </c>
      <c r="V131" s="190">
        <f t="shared" si="48"/>
        <v>59630.400000000001</v>
      </c>
      <c r="W131" s="188">
        <v>60000</v>
      </c>
      <c r="X131" s="188">
        <v>1534</v>
      </c>
      <c r="Y131" s="188">
        <v>30000</v>
      </c>
      <c r="Z131" s="188">
        <f t="shared" si="52"/>
        <v>30000</v>
      </c>
      <c r="AA131" s="198"/>
      <c r="AB131" s="198"/>
      <c r="AC131" s="196"/>
      <c r="AD131" s="88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</row>
    <row r="132" spans="1:256" ht="30" customHeight="1" x14ac:dyDescent="0.25">
      <c r="A132" s="197">
        <v>745000.75</v>
      </c>
      <c r="B132" s="233" t="s">
        <v>211</v>
      </c>
      <c r="C132" s="202">
        <v>40000</v>
      </c>
      <c r="D132" s="203"/>
      <c r="E132" s="202">
        <v>33784</v>
      </c>
      <c r="F132" s="202">
        <v>80000</v>
      </c>
      <c r="G132" s="189">
        <f>150000-20000+100000</f>
        <v>230000</v>
      </c>
      <c r="H132" s="204">
        <v>30429</v>
      </c>
      <c r="I132" s="189">
        <v>95205</v>
      </c>
      <c r="J132" s="189"/>
      <c r="K132" s="189">
        <f t="shared" si="49"/>
        <v>126940</v>
      </c>
      <c r="L132" s="189">
        <v>330000</v>
      </c>
      <c r="M132" s="189">
        <f t="shared" si="41"/>
        <v>165000</v>
      </c>
      <c r="N132" s="189">
        <v>330000</v>
      </c>
      <c r="O132" s="189">
        <v>330000</v>
      </c>
      <c r="P132" s="188">
        <f t="shared" si="56"/>
        <v>495000</v>
      </c>
      <c r="Q132" s="188">
        <v>350000</v>
      </c>
      <c r="R132" s="188">
        <v>33129</v>
      </c>
      <c r="S132" s="188">
        <f t="shared" si="57"/>
        <v>66258</v>
      </c>
      <c r="T132" s="188">
        <v>180000</v>
      </c>
      <c r="U132" s="188">
        <v>178371</v>
      </c>
      <c r="V132" s="190">
        <f t="shared" si="48"/>
        <v>214045.2</v>
      </c>
      <c r="W132" s="188">
        <v>180000</v>
      </c>
      <c r="X132" s="188"/>
      <c r="Y132" s="188">
        <v>180000</v>
      </c>
      <c r="Z132" s="188">
        <f t="shared" si="52"/>
        <v>180000</v>
      </c>
      <c r="AA132" s="198">
        <v>166000</v>
      </c>
      <c r="AB132" s="198">
        <v>166000</v>
      </c>
      <c r="AC132" s="196"/>
      <c r="AD132" s="88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</row>
    <row r="133" spans="1:256" ht="30" customHeight="1" x14ac:dyDescent="0.25">
      <c r="A133" s="193">
        <v>746000.11</v>
      </c>
      <c r="B133" s="233" t="s">
        <v>644</v>
      </c>
      <c r="C133" s="202"/>
      <c r="D133" s="203"/>
      <c r="E133" s="202"/>
      <c r="F133" s="202"/>
      <c r="G133" s="189"/>
      <c r="H133" s="204"/>
      <c r="I133" s="189"/>
      <c r="J133" s="189"/>
      <c r="K133" s="189"/>
      <c r="L133" s="189"/>
      <c r="M133" s="189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>
        <v>33909</v>
      </c>
      <c r="Y133" s="190">
        <v>47000</v>
      </c>
      <c r="Z133" s="190">
        <f>90000+95000+139000</f>
        <v>324000</v>
      </c>
      <c r="AA133" s="225">
        <v>126000</v>
      </c>
      <c r="AB133" s="191">
        <v>393000</v>
      </c>
      <c r="AC133" s="196">
        <v>3.87</v>
      </c>
      <c r="AD133" s="88" t="s">
        <v>694</v>
      </c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</row>
    <row r="134" spans="1:256" ht="30" customHeight="1" x14ac:dyDescent="0.25">
      <c r="A134" s="197">
        <v>746000.43200000003</v>
      </c>
      <c r="B134" s="233" t="s">
        <v>434</v>
      </c>
      <c r="C134" s="202"/>
      <c r="D134" s="203"/>
      <c r="E134" s="202"/>
      <c r="F134" s="202"/>
      <c r="G134" s="189">
        <v>12000</v>
      </c>
      <c r="H134" s="204">
        <f>9244</f>
        <v>9244</v>
      </c>
      <c r="I134" s="189"/>
      <c r="J134" s="189"/>
      <c r="K134" s="189">
        <f t="shared" si="49"/>
        <v>0</v>
      </c>
      <c r="L134" s="189"/>
      <c r="M134" s="189">
        <f t="shared" si="41"/>
        <v>0</v>
      </c>
      <c r="N134" s="189">
        <v>12000</v>
      </c>
      <c r="O134" s="189">
        <v>12000</v>
      </c>
      <c r="P134" s="188">
        <f t="shared" si="56"/>
        <v>0</v>
      </c>
      <c r="Q134" s="188">
        <v>30000</v>
      </c>
      <c r="R134" s="188">
        <v>15000</v>
      </c>
      <c r="S134" s="188">
        <f t="shared" si="57"/>
        <v>30000</v>
      </c>
      <c r="T134" s="188">
        <f t="shared" si="58"/>
        <v>30000</v>
      </c>
      <c r="U134" s="188">
        <v>50987</v>
      </c>
      <c r="V134" s="190">
        <f t="shared" si="48"/>
        <v>61184.4</v>
      </c>
      <c r="W134" s="188">
        <v>70000</v>
      </c>
      <c r="X134" s="188">
        <v>63954</v>
      </c>
      <c r="Y134" s="188">
        <v>70000</v>
      </c>
      <c r="Z134" s="188">
        <f t="shared" si="52"/>
        <v>70000</v>
      </c>
      <c r="AA134" s="198">
        <v>50000</v>
      </c>
      <c r="AB134" s="198">
        <v>50000</v>
      </c>
      <c r="AC134" s="196"/>
      <c r="AD134" s="88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</row>
    <row r="135" spans="1:256" ht="30" customHeight="1" x14ac:dyDescent="0.25">
      <c r="A135" s="197">
        <v>746000.72</v>
      </c>
      <c r="B135" s="233" t="s">
        <v>245</v>
      </c>
      <c r="C135" s="202">
        <v>150000</v>
      </c>
      <c r="D135" s="203"/>
      <c r="E135" s="202">
        <v>83841</v>
      </c>
      <c r="F135" s="202">
        <v>110000</v>
      </c>
      <c r="G135" s="189">
        <f>150000+150000</f>
        <v>300000</v>
      </c>
      <c r="H135" s="204">
        <v>112410</v>
      </c>
      <c r="I135" s="189">
        <v>187756</v>
      </c>
      <c r="J135" s="189"/>
      <c r="K135" s="189">
        <f t="shared" si="49"/>
        <v>250341.33333333334</v>
      </c>
      <c r="L135" s="189">
        <v>255224</v>
      </c>
      <c r="M135" s="189">
        <f t="shared" si="41"/>
        <v>127612</v>
      </c>
      <c r="N135" s="189">
        <v>250000</v>
      </c>
      <c r="O135" s="189">
        <v>252000</v>
      </c>
      <c r="P135" s="188">
        <f t="shared" si="56"/>
        <v>382836</v>
      </c>
      <c r="Q135" s="188">
        <f>O135</f>
        <v>252000</v>
      </c>
      <c r="R135" s="188">
        <v>85765.61</v>
      </c>
      <c r="S135" s="188">
        <f t="shared" si="57"/>
        <v>171531.22</v>
      </c>
      <c r="T135" s="188">
        <f t="shared" si="58"/>
        <v>252000</v>
      </c>
      <c r="U135" s="188">
        <v>128591</v>
      </c>
      <c r="V135" s="190">
        <f t="shared" si="48"/>
        <v>154309.20000000001</v>
      </c>
      <c r="W135" s="188">
        <v>150000</v>
      </c>
      <c r="X135" s="188">
        <v>84334</v>
      </c>
      <c r="Y135" s="188">
        <v>150000</v>
      </c>
      <c r="Z135" s="188">
        <f t="shared" si="52"/>
        <v>150000</v>
      </c>
      <c r="AA135" s="198">
        <v>105000</v>
      </c>
      <c r="AB135" s="198">
        <v>105000</v>
      </c>
      <c r="AC135" s="196"/>
      <c r="AD135" s="88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</row>
    <row r="136" spans="1:256" ht="30" customHeight="1" x14ac:dyDescent="0.25">
      <c r="A136" s="197">
        <v>746000.75</v>
      </c>
      <c r="B136" s="233" t="s">
        <v>246</v>
      </c>
      <c r="C136" s="202">
        <v>180000</v>
      </c>
      <c r="D136" s="203"/>
      <c r="E136" s="202">
        <v>79268</v>
      </c>
      <c r="F136" s="202">
        <v>110000</v>
      </c>
      <c r="G136" s="189">
        <v>50000</v>
      </c>
      <c r="H136" s="204">
        <v>18160</v>
      </c>
      <c r="I136" s="189">
        <v>32974</v>
      </c>
      <c r="J136" s="189"/>
      <c r="K136" s="189">
        <f t="shared" si="49"/>
        <v>43965.333333333336</v>
      </c>
      <c r="L136" s="189">
        <v>169008</v>
      </c>
      <c r="M136" s="189">
        <f t="shared" si="41"/>
        <v>84504</v>
      </c>
      <c r="N136" s="189">
        <v>300000</v>
      </c>
      <c r="O136" s="189">
        <v>300100</v>
      </c>
      <c r="P136" s="188">
        <f t="shared" si="56"/>
        <v>253512</v>
      </c>
      <c r="Q136" s="188">
        <v>700000</v>
      </c>
      <c r="R136" s="188">
        <v>203938</v>
      </c>
      <c r="S136" s="188">
        <f t="shared" si="57"/>
        <v>407876</v>
      </c>
      <c r="T136" s="188">
        <v>500000</v>
      </c>
      <c r="U136" s="188">
        <v>311881</v>
      </c>
      <c r="V136" s="190">
        <f t="shared" si="48"/>
        <v>374257.2</v>
      </c>
      <c r="W136" s="188">
        <v>320000</v>
      </c>
      <c r="X136" s="188">
        <v>93217</v>
      </c>
      <c r="Y136" s="188">
        <v>180000</v>
      </c>
      <c r="Z136" s="188">
        <f t="shared" si="52"/>
        <v>180000</v>
      </c>
      <c r="AA136" s="198">
        <v>82000</v>
      </c>
      <c r="AB136" s="198">
        <v>82000</v>
      </c>
      <c r="AC136" s="196"/>
      <c r="AD136" s="88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</row>
    <row r="137" spans="1:256" ht="30" customHeight="1" x14ac:dyDescent="0.25">
      <c r="A137" s="193">
        <v>749000.11</v>
      </c>
      <c r="B137" s="233" t="s">
        <v>685</v>
      </c>
      <c r="C137" s="202">
        <v>138000</v>
      </c>
      <c r="D137" s="203"/>
      <c r="E137" s="202">
        <v>190771</v>
      </c>
      <c r="F137" s="202">
        <v>193000</v>
      </c>
      <c r="G137" s="189">
        <v>426400</v>
      </c>
      <c r="H137" s="204">
        <v>178832</v>
      </c>
      <c r="I137" s="189">
        <v>298426</v>
      </c>
      <c r="J137" s="189"/>
      <c r="K137" s="189">
        <f t="shared" si="49"/>
        <v>397901.33333333331</v>
      </c>
      <c r="L137" s="189">
        <v>321391</v>
      </c>
      <c r="M137" s="189">
        <f>L137/7*5</f>
        <v>229565</v>
      </c>
      <c r="N137" s="190">
        <v>370000</v>
      </c>
      <c r="O137" s="190">
        <v>505100</v>
      </c>
      <c r="P137" s="190">
        <f>M137+L137</f>
        <v>550956</v>
      </c>
      <c r="Q137" s="190">
        <f>O137*1.045</f>
        <v>527829.5</v>
      </c>
      <c r="R137" s="190">
        <f>277580*0.98</f>
        <v>272028.40000000002</v>
      </c>
      <c r="S137" s="190">
        <f t="shared" ref="S137:S144" si="59">R137*2</f>
        <v>544056.80000000005</v>
      </c>
      <c r="T137" s="190">
        <f>S137</f>
        <v>544056.80000000005</v>
      </c>
      <c r="U137" s="190">
        <v>450379</v>
      </c>
      <c r="V137" s="190">
        <f t="shared" si="48"/>
        <v>540454.80000000005</v>
      </c>
      <c r="W137" s="190">
        <v>520000</v>
      </c>
      <c r="X137" s="190">
        <v>436886</v>
      </c>
      <c r="Y137" s="190">
        <v>510000</v>
      </c>
      <c r="Z137" s="190">
        <f>520000-95000-139000</f>
        <v>286000</v>
      </c>
      <c r="AA137" s="191">
        <v>575000</v>
      </c>
      <c r="AB137" s="191">
        <v>288000</v>
      </c>
      <c r="AC137" s="196">
        <f>4-2</f>
        <v>2</v>
      </c>
      <c r="AD137" s="88" t="s">
        <v>694</v>
      </c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</row>
    <row r="138" spans="1:256" ht="30" customHeight="1" x14ac:dyDescent="0.25">
      <c r="A138" s="197">
        <v>749000.52099999995</v>
      </c>
      <c r="B138" s="233" t="s">
        <v>686</v>
      </c>
      <c r="C138" s="202">
        <v>2000</v>
      </c>
      <c r="D138" s="203"/>
      <c r="E138" s="202">
        <v>0</v>
      </c>
      <c r="F138" s="202">
        <v>2000</v>
      </c>
      <c r="G138" s="189">
        <v>3000</v>
      </c>
      <c r="H138" s="204">
        <v>0</v>
      </c>
      <c r="I138" s="189">
        <v>1000</v>
      </c>
      <c r="J138" s="189"/>
      <c r="K138" s="189">
        <f t="shared" si="49"/>
        <v>1333.3333333333333</v>
      </c>
      <c r="L138" s="189">
        <v>4800</v>
      </c>
      <c r="M138" s="189">
        <f t="shared" si="41"/>
        <v>2400</v>
      </c>
      <c r="N138" s="189">
        <v>2000</v>
      </c>
      <c r="O138" s="189">
        <v>4800</v>
      </c>
      <c r="P138" s="188">
        <f>L138+M138</f>
        <v>7200</v>
      </c>
      <c r="Q138" s="188">
        <f>O138</f>
        <v>4800</v>
      </c>
      <c r="R138" s="188">
        <v>4900</v>
      </c>
      <c r="S138" s="188">
        <f t="shared" si="59"/>
        <v>9800</v>
      </c>
      <c r="T138" s="188">
        <v>9800</v>
      </c>
      <c r="U138" s="188">
        <v>4900</v>
      </c>
      <c r="V138" s="190">
        <f t="shared" si="48"/>
        <v>5880</v>
      </c>
      <c r="W138" s="188">
        <v>5000</v>
      </c>
      <c r="X138" s="188">
        <v>500</v>
      </c>
      <c r="Y138" s="188">
        <v>1000</v>
      </c>
      <c r="Z138" s="188">
        <f t="shared" si="52"/>
        <v>1000</v>
      </c>
      <c r="AA138" s="198"/>
      <c r="AB138" s="198"/>
      <c r="AC138" s="196"/>
      <c r="AD138" s="88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</row>
    <row r="139" spans="1:256" ht="30" customHeight="1" x14ac:dyDescent="0.25">
      <c r="A139" s="197">
        <v>749000.54</v>
      </c>
      <c r="B139" s="233" t="s">
        <v>687</v>
      </c>
      <c r="C139" s="202">
        <v>1000</v>
      </c>
      <c r="D139" s="203"/>
      <c r="E139" s="202">
        <v>4080</v>
      </c>
      <c r="F139" s="202">
        <v>3000</v>
      </c>
      <c r="G139" s="189">
        <v>3000</v>
      </c>
      <c r="H139" s="204">
        <v>2345</v>
      </c>
      <c r="I139" s="189">
        <v>2802</v>
      </c>
      <c r="J139" s="189"/>
      <c r="K139" s="189">
        <f t="shared" si="49"/>
        <v>3736</v>
      </c>
      <c r="L139" s="189">
        <v>1222</v>
      </c>
      <c r="M139" s="189">
        <f t="shared" si="41"/>
        <v>611</v>
      </c>
      <c r="N139" s="189">
        <v>4000</v>
      </c>
      <c r="O139" s="189">
        <v>2000</v>
      </c>
      <c r="P139" s="188">
        <f>L139+M139</f>
        <v>1833</v>
      </c>
      <c r="Q139" s="188">
        <f>O139</f>
        <v>2000</v>
      </c>
      <c r="R139" s="188">
        <v>240.59</v>
      </c>
      <c r="S139" s="188">
        <f t="shared" si="59"/>
        <v>481.18</v>
      </c>
      <c r="T139" s="188">
        <f>Q139</f>
        <v>2000</v>
      </c>
      <c r="U139" s="188">
        <v>1241</v>
      </c>
      <c r="V139" s="190">
        <f t="shared" si="48"/>
        <v>1489.2</v>
      </c>
      <c r="W139" s="188">
        <v>2000</v>
      </c>
      <c r="X139" s="188">
        <v>2430</v>
      </c>
      <c r="Y139" s="188">
        <v>3000</v>
      </c>
      <c r="Z139" s="188">
        <f t="shared" si="52"/>
        <v>3000</v>
      </c>
      <c r="AA139" s="198">
        <v>2000</v>
      </c>
      <c r="AB139" s="198">
        <v>2000</v>
      </c>
      <c r="AC139" s="196"/>
      <c r="AD139" s="88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</row>
    <row r="140" spans="1:256" ht="30" customHeight="1" x14ac:dyDescent="0.25">
      <c r="A140" s="193">
        <v>754000.11</v>
      </c>
      <c r="B140" s="233" t="s">
        <v>469</v>
      </c>
      <c r="C140" s="202"/>
      <c r="D140" s="203"/>
      <c r="E140" s="202"/>
      <c r="F140" s="202"/>
      <c r="G140" s="189"/>
      <c r="H140" s="204"/>
      <c r="I140" s="189"/>
      <c r="J140" s="189"/>
      <c r="K140" s="189"/>
      <c r="L140" s="189">
        <v>37197</v>
      </c>
      <c r="M140" s="189">
        <f>L140/7*5</f>
        <v>26569.285714285717</v>
      </c>
      <c r="N140" s="190">
        <v>0</v>
      </c>
      <c r="O140" s="190">
        <v>66800</v>
      </c>
      <c r="P140" s="190">
        <f>M140+L140</f>
        <v>63766.285714285717</v>
      </c>
      <c r="Q140" s="190">
        <f>O140*1.045</f>
        <v>69806</v>
      </c>
      <c r="R140" s="190">
        <f>39118.03*0.97</f>
        <v>37944.489099999999</v>
      </c>
      <c r="S140" s="190">
        <f t="shared" si="59"/>
        <v>75888.978199999998</v>
      </c>
      <c r="T140" s="190">
        <f>S140</f>
        <v>75888.978199999998</v>
      </c>
      <c r="U140" s="190">
        <v>63395</v>
      </c>
      <c r="V140" s="190">
        <f t="shared" si="48"/>
        <v>76074</v>
      </c>
      <c r="W140" s="190">
        <v>75889</v>
      </c>
      <c r="X140" s="190">
        <v>65068</v>
      </c>
      <c r="Y140" s="190">
        <v>71000</v>
      </c>
      <c r="Z140" s="190">
        <v>54000</v>
      </c>
      <c r="AA140" s="191">
        <v>46000</v>
      </c>
      <c r="AB140" s="191"/>
      <c r="AC140" s="196"/>
      <c r="AD140" s="88" t="s">
        <v>694</v>
      </c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</row>
    <row r="141" spans="1:256" ht="30" customHeight="1" x14ac:dyDescent="0.25">
      <c r="A141" s="197">
        <v>754000.51</v>
      </c>
      <c r="B141" s="233" t="s">
        <v>627</v>
      </c>
      <c r="C141" s="202"/>
      <c r="D141" s="203"/>
      <c r="E141" s="202"/>
      <c r="F141" s="202"/>
      <c r="G141" s="189"/>
      <c r="H141" s="204"/>
      <c r="I141" s="189"/>
      <c r="J141" s="189"/>
      <c r="K141" s="189"/>
      <c r="L141" s="189"/>
      <c r="M141" s="189"/>
      <c r="N141" s="189"/>
      <c r="O141" s="189"/>
      <c r="P141" s="188"/>
      <c r="Q141" s="188"/>
      <c r="R141" s="188"/>
      <c r="S141" s="188"/>
      <c r="T141" s="188"/>
      <c r="U141" s="188"/>
      <c r="V141" s="190"/>
      <c r="W141" s="188">
        <v>50000</v>
      </c>
      <c r="X141" s="188">
        <v>26621</v>
      </c>
      <c r="Y141" s="188">
        <v>32000</v>
      </c>
      <c r="Z141" s="188">
        <f t="shared" si="52"/>
        <v>32000</v>
      </c>
      <c r="AA141" s="198"/>
      <c r="AB141" s="198"/>
      <c r="AC141" s="196"/>
      <c r="AD141" s="88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</row>
    <row r="142" spans="1:256" ht="30" customHeight="1" x14ac:dyDescent="0.25">
      <c r="A142" s="193">
        <v>781000.11</v>
      </c>
      <c r="B142" s="233" t="s">
        <v>475</v>
      </c>
      <c r="C142" s="202"/>
      <c r="D142" s="203"/>
      <c r="E142" s="202"/>
      <c r="F142" s="202"/>
      <c r="G142" s="189"/>
      <c r="H142" s="204"/>
      <c r="I142" s="189"/>
      <c r="J142" s="189"/>
      <c r="K142" s="189"/>
      <c r="L142" s="189"/>
      <c r="M142" s="189"/>
      <c r="N142" s="190">
        <v>25000</v>
      </c>
      <c r="O142" s="190">
        <v>18000</v>
      </c>
      <c r="P142" s="190">
        <f>M142+L142</f>
        <v>0</v>
      </c>
      <c r="Q142" s="190">
        <f>O142*1.045+30000</f>
        <v>48810</v>
      </c>
      <c r="R142" s="190">
        <f>25246.52*0.98</f>
        <v>24741.589599999999</v>
      </c>
      <c r="S142" s="190">
        <f t="shared" si="59"/>
        <v>49483.179199999999</v>
      </c>
      <c r="T142" s="190">
        <f>S142</f>
        <v>49483.179199999999</v>
      </c>
      <c r="U142" s="190">
        <v>44138</v>
      </c>
      <c r="V142" s="190">
        <f t="shared" si="48"/>
        <v>52965.599999999999</v>
      </c>
      <c r="W142" s="190">
        <v>56966</v>
      </c>
      <c r="X142" s="190">
        <v>97694</v>
      </c>
      <c r="Y142" s="190">
        <v>132000</v>
      </c>
      <c r="Z142" s="190">
        <v>169000</v>
      </c>
      <c r="AA142" s="191">
        <v>151000</v>
      </c>
      <c r="AB142" s="191">
        <v>201000</v>
      </c>
      <c r="AC142" s="196">
        <f>1.34+0.2</f>
        <v>1.54</v>
      </c>
      <c r="AD142" s="88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</row>
    <row r="143" spans="1:256" s="50" customFormat="1" ht="30" customHeight="1" x14ac:dyDescent="0.25">
      <c r="A143" s="197">
        <v>781000.78</v>
      </c>
      <c r="B143" s="233" t="s">
        <v>622</v>
      </c>
      <c r="C143" s="202"/>
      <c r="D143" s="203"/>
      <c r="E143" s="202"/>
      <c r="F143" s="202"/>
      <c r="G143" s="189"/>
      <c r="H143" s="204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>
        <v>2000</v>
      </c>
      <c r="X143" s="189">
        <v>22384</v>
      </c>
      <c r="Y143" s="188">
        <v>26900</v>
      </c>
      <c r="Z143" s="188">
        <f t="shared" si="52"/>
        <v>26900</v>
      </c>
      <c r="AA143" s="198">
        <v>17000</v>
      </c>
      <c r="AB143" s="198">
        <v>17000</v>
      </c>
      <c r="AC143" s="196"/>
      <c r="AD143" s="89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  <c r="AV143" s="66"/>
      <c r="AW143" s="66"/>
      <c r="AX143" s="66"/>
      <c r="AY143" s="66"/>
      <c r="AZ143" s="66"/>
      <c r="BA143" s="66"/>
      <c r="BB143" s="66"/>
      <c r="BC143" s="66"/>
      <c r="BD143" s="66"/>
      <c r="BE143" s="66"/>
      <c r="BF143" s="66"/>
      <c r="BG143" s="66"/>
      <c r="BH143" s="66"/>
      <c r="BI143" s="66"/>
      <c r="BJ143" s="66"/>
      <c r="BK143" s="66"/>
      <c r="BL143" s="66"/>
      <c r="BM143" s="66"/>
      <c r="BN143" s="66"/>
      <c r="BO143" s="66"/>
      <c r="BP143" s="66"/>
      <c r="BQ143" s="66"/>
      <c r="BR143" s="66"/>
      <c r="BS143" s="66"/>
      <c r="BT143" s="66"/>
      <c r="BU143" s="66"/>
      <c r="BV143" s="66"/>
      <c r="BW143" s="66"/>
      <c r="BX143" s="66"/>
      <c r="BY143" s="66"/>
      <c r="BZ143" s="66"/>
      <c r="CA143" s="66"/>
      <c r="CB143" s="66"/>
      <c r="CC143" s="66"/>
      <c r="CD143" s="66"/>
      <c r="CE143" s="66"/>
      <c r="CF143" s="66"/>
      <c r="CG143" s="66"/>
      <c r="CH143" s="66"/>
      <c r="CI143" s="66"/>
      <c r="CJ143" s="66"/>
      <c r="CK143" s="66"/>
      <c r="CL143" s="66"/>
      <c r="CM143" s="66"/>
      <c r="CN143" s="66"/>
      <c r="CO143" s="66"/>
      <c r="CP143" s="66"/>
      <c r="CQ143" s="66"/>
      <c r="CR143" s="66"/>
      <c r="CS143" s="66"/>
      <c r="CT143" s="66"/>
      <c r="CU143" s="66"/>
      <c r="CV143" s="66"/>
      <c r="CW143" s="66"/>
      <c r="CX143" s="66"/>
      <c r="CY143" s="66"/>
      <c r="CZ143" s="66"/>
      <c r="DA143" s="66"/>
      <c r="DB143" s="66"/>
      <c r="DC143" s="66"/>
      <c r="DD143" s="66"/>
      <c r="DE143" s="66"/>
      <c r="DF143" s="66"/>
      <c r="DG143" s="66"/>
      <c r="DH143" s="66"/>
      <c r="DI143" s="66"/>
      <c r="DJ143" s="66"/>
      <c r="DK143" s="66"/>
      <c r="DL143" s="66"/>
      <c r="DM143" s="66"/>
      <c r="DN143" s="66"/>
      <c r="DO143" s="66"/>
      <c r="DP143" s="66"/>
      <c r="DQ143" s="66"/>
      <c r="DR143" s="66"/>
      <c r="DS143" s="66"/>
      <c r="DT143" s="66"/>
      <c r="DU143" s="66"/>
      <c r="DV143" s="66"/>
      <c r="DW143" s="66"/>
      <c r="DX143" s="66"/>
      <c r="DY143" s="66"/>
      <c r="DZ143" s="66"/>
      <c r="EA143" s="66"/>
      <c r="EB143" s="66"/>
      <c r="EC143" s="66"/>
      <c r="ED143" s="66"/>
      <c r="EE143" s="66"/>
      <c r="EF143" s="66"/>
      <c r="EG143" s="66"/>
      <c r="EH143" s="66"/>
      <c r="EI143" s="66"/>
      <c r="EJ143" s="66"/>
      <c r="EK143" s="66"/>
      <c r="EL143" s="66"/>
      <c r="EM143" s="66"/>
      <c r="EN143" s="66"/>
      <c r="EO143" s="66"/>
      <c r="EP143" s="66"/>
      <c r="EQ143" s="66"/>
      <c r="ER143" s="66"/>
      <c r="ES143" s="66"/>
      <c r="ET143" s="66"/>
      <c r="EU143" s="66"/>
      <c r="EV143" s="66"/>
      <c r="EW143" s="66"/>
      <c r="EX143" s="66"/>
      <c r="EY143" s="66"/>
      <c r="EZ143" s="66"/>
      <c r="FA143" s="66"/>
      <c r="FB143" s="66"/>
      <c r="FC143" s="66"/>
      <c r="FD143" s="66"/>
      <c r="FE143" s="66"/>
      <c r="FF143" s="66"/>
      <c r="FG143" s="66"/>
      <c r="FH143" s="66"/>
      <c r="FI143" s="66"/>
      <c r="FJ143" s="66"/>
      <c r="FK143" s="66"/>
      <c r="FL143" s="66"/>
      <c r="FM143" s="66"/>
      <c r="FN143" s="66"/>
      <c r="FO143" s="66"/>
      <c r="FP143" s="66"/>
      <c r="FQ143" s="66"/>
      <c r="FR143" s="66"/>
      <c r="FS143" s="66"/>
      <c r="FT143" s="66"/>
      <c r="FU143" s="66"/>
      <c r="FV143" s="66"/>
      <c r="FW143" s="66"/>
      <c r="FX143" s="66"/>
      <c r="FY143" s="66"/>
      <c r="FZ143" s="66"/>
      <c r="GA143" s="66"/>
      <c r="GB143" s="66"/>
      <c r="GC143" s="66"/>
      <c r="GD143" s="66"/>
      <c r="GE143" s="66"/>
      <c r="GF143" s="66"/>
      <c r="GG143" s="66"/>
      <c r="GH143" s="66"/>
      <c r="GI143" s="66"/>
      <c r="GJ143" s="66"/>
      <c r="GK143" s="66"/>
      <c r="GL143" s="66"/>
      <c r="GM143" s="66"/>
      <c r="GN143" s="66"/>
      <c r="GO143" s="66"/>
      <c r="GP143" s="66"/>
      <c r="GQ143" s="66"/>
      <c r="GR143" s="66"/>
      <c r="GS143" s="66"/>
      <c r="GT143" s="66"/>
      <c r="GU143" s="66"/>
      <c r="GV143" s="66"/>
      <c r="GW143" s="66"/>
      <c r="GX143" s="66"/>
      <c r="GY143" s="66"/>
      <c r="GZ143" s="66"/>
      <c r="HA143" s="66"/>
      <c r="HB143" s="66"/>
      <c r="HC143" s="66"/>
      <c r="HD143" s="66"/>
      <c r="HE143" s="66"/>
      <c r="HF143" s="66"/>
      <c r="HG143" s="66"/>
      <c r="HH143" s="66"/>
      <c r="HI143" s="66"/>
      <c r="HJ143" s="66"/>
      <c r="HK143" s="66"/>
      <c r="HL143" s="66"/>
      <c r="HM143" s="66"/>
      <c r="HN143" s="66"/>
      <c r="HO143" s="66"/>
      <c r="HP143" s="66"/>
      <c r="HQ143" s="66"/>
      <c r="HR143" s="66"/>
      <c r="HS143" s="66"/>
      <c r="HT143" s="66"/>
      <c r="HU143" s="66"/>
      <c r="HV143" s="66"/>
      <c r="HW143" s="66"/>
      <c r="HX143" s="66"/>
      <c r="HY143" s="66"/>
      <c r="HZ143" s="66"/>
      <c r="IA143" s="66"/>
      <c r="IB143" s="66"/>
      <c r="IC143" s="66"/>
      <c r="ID143" s="66"/>
      <c r="IE143" s="66"/>
      <c r="IF143" s="66"/>
      <c r="IG143" s="66"/>
      <c r="IH143" s="66"/>
      <c r="II143" s="66"/>
      <c r="IJ143" s="66"/>
      <c r="IK143" s="66"/>
      <c r="IL143" s="66"/>
      <c r="IM143" s="66"/>
      <c r="IN143" s="66"/>
      <c r="IO143" s="66"/>
      <c r="IP143" s="66"/>
      <c r="IQ143" s="66"/>
      <c r="IR143" s="66"/>
      <c r="IS143" s="66"/>
      <c r="IT143" s="66"/>
      <c r="IU143" s="66"/>
      <c r="IV143" s="66"/>
    </row>
    <row r="144" spans="1:256" ht="30" customHeight="1" x14ac:dyDescent="0.25">
      <c r="A144" s="197">
        <v>796000.83</v>
      </c>
      <c r="B144" s="232" t="s">
        <v>384</v>
      </c>
      <c r="C144" s="194">
        <v>229000</v>
      </c>
      <c r="D144" s="187"/>
      <c r="E144" s="194">
        <v>160073</v>
      </c>
      <c r="F144" s="194">
        <v>210225</v>
      </c>
      <c r="G144" s="188">
        <v>280000</v>
      </c>
      <c r="H144" s="195">
        <v>210226</v>
      </c>
      <c r="I144" s="188">
        <v>213632</v>
      </c>
      <c r="J144" s="189"/>
      <c r="K144" s="189">
        <v>215000</v>
      </c>
      <c r="L144" s="189">
        <v>112000</v>
      </c>
      <c r="M144" s="189">
        <v>112000</v>
      </c>
      <c r="N144" s="188">
        <v>225000</v>
      </c>
      <c r="O144" s="188">
        <f>M144+L144</f>
        <v>224000</v>
      </c>
      <c r="P144" s="188">
        <f>L144+M144</f>
        <v>224000</v>
      </c>
      <c r="Q144" s="188">
        <v>229000</v>
      </c>
      <c r="R144" s="188">
        <v>114500</v>
      </c>
      <c r="S144" s="188">
        <f t="shared" si="59"/>
        <v>229000</v>
      </c>
      <c r="T144" s="188">
        <f>Q144</f>
        <v>229000</v>
      </c>
      <c r="U144" s="188">
        <v>190000</v>
      </c>
      <c r="V144" s="190">
        <f t="shared" si="48"/>
        <v>228000</v>
      </c>
      <c r="W144" s="188">
        <v>250000</v>
      </c>
      <c r="X144" s="188">
        <v>247876</v>
      </c>
      <c r="Y144" s="188">
        <v>248000</v>
      </c>
      <c r="Z144" s="188">
        <f t="shared" si="52"/>
        <v>248000</v>
      </c>
      <c r="AA144" s="198">
        <v>250000</v>
      </c>
      <c r="AB144" s="198">
        <v>250000</v>
      </c>
      <c r="AC144" s="196"/>
      <c r="AD144" s="88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</row>
    <row r="145" spans="1:256" ht="30" customHeight="1" x14ac:dyDescent="0.25">
      <c r="A145" s="222"/>
      <c r="B145" s="275" t="s">
        <v>29</v>
      </c>
      <c r="C145" s="211">
        <f t="shared" ref="C145:AC145" si="60">SUM(C128:C144)+C127+C117+C105+C93</f>
        <v>11201000</v>
      </c>
      <c r="D145" s="211">
        <f t="shared" si="60"/>
        <v>0</v>
      </c>
      <c r="E145" s="211">
        <f t="shared" si="60"/>
        <v>11440732</v>
      </c>
      <c r="F145" s="211">
        <f t="shared" si="60"/>
        <v>12651957</v>
      </c>
      <c r="G145" s="212">
        <f t="shared" si="60"/>
        <v>16864080</v>
      </c>
      <c r="H145" s="212">
        <f t="shared" si="60"/>
        <v>9009631</v>
      </c>
      <c r="I145" s="212">
        <f t="shared" si="60"/>
        <v>12392502</v>
      </c>
      <c r="J145" s="213">
        <f t="shared" si="60"/>
        <v>0</v>
      </c>
      <c r="K145" s="213">
        <f t="shared" si="60"/>
        <v>16337922.666666668</v>
      </c>
      <c r="L145" s="213">
        <f t="shared" si="60"/>
        <v>8292426</v>
      </c>
      <c r="M145" s="213">
        <f t="shared" si="60"/>
        <v>8576691.7142857127</v>
      </c>
      <c r="N145" s="212">
        <f t="shared" si="60"/>
        <v>17230400</v>
      </c>
      <c r="O145" s="212">
        <f t="shared" si="60"/>
        <v>18450300</v>
      </c>
      <c r="P145" s="212">
        <f t="shared" si="60"/>
        <v>18369117.714285716</v>
      </c>
      <c r="Q145" s="212">
        <f t="shared" si="60"/>
        <v>18638544.333333336</v>
      </c>
      <c r="R145" s="212">
        <f t="shared" si="60"/>
        <v>8361303.0130999992</v>
      </c>
      <c r="S145" s="212">
        <f t="shared" si="60"/>
        <v>17366606.026199996</v>
      </c>
      <c r="T145" s="212">
        <f t="shared" si="60"/>
        <v>18301102.0462</v>
      </c>
      <c r="U145" s="212">
        <f t="shared" si="60"/>
        <v>15267048</v>
      </c>
      <c r="V145" s="212">
        <f t="shared" si="60"/>
        <v>18370057.599999998</v>
      </c>
      <c r="W145" s="212">
        <f t="shared" si="60"/>
        <v>19301756</v>
      </c>
      <c r="X145" s="212">
        <f t="shared" si="60"/>
        <v>15112715.666666668</v>
      </c>
      <c r="Y145" s="212">
        <f t="shared" si="60"/>
        <v>18628400</v>
      </c>
      <c r="Z145" s="212">
        <f t="shared" si="60"/>
        <v>19239400</v>
      </c>
      <c r="AA145" s="211">
        <f t="shared" si="60"/>
        <v>20222500</v>
      </c>
      <c r="AB145" s="211">
        <f t="shared" si="60"/>
        <v>20669200</v>
      </c>
      <c r="AC145" s="212">
        <f t="shared" si="60"/>
        <v>40.9</v>
      </c>
      <c r="AD145" s="88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</row>
    <row r="146" spans="1:256" ht="30" customHeight="1" x14ac:dyDescent="0.25">
      <c r="A146" s="193">
        <v>811000.11</v>
      </c>
      <c r="B146" s="232" t="s">
        <v>30</v>
      </c>
      <c r="C146" s="202">
        <v>1280000</v>
      </c>
      <c r="D146" s="187"/>
      <c r="E146" s="194">
        <v>1274481</v>
      </c>
      <c r="F146" s="202">
        <v>1285000</v>
      </c>
      <c r="G146" s="188">
        <v>1542580</v>
      </c>
      <c r="H146" s="204">
        <v>1128716</v>
      </c>
      <c r="I146" s="188">
        <v>1140462</v>
      </c>
      <c r="J146" s="189"/>
      <c r="K146" s="189">
        <f t="shared" si="49"/>
        <v>1520616</v>
      </c>
      <c r="L146" s="189">
        <v>1109124</v>
      </c>
      <c r="M146" s="189">
        <f>L146/7*5</f>
        <v>792231.42857142852</v>
      </c>
      <c r="N146" s="190">
        <v>1510000</v>
      </c>
      <c r="O146" s="190">
        <v>1859500</v>
      </c>
      <c r="P146" s="190">
        <f>M146+L146</f>
        <v>1901355.4285714286</v>
      </c>
      <c r="Q146" s="190">
        <f>O146*1.045+67000*1.045*4/3</f>
        <v>2036530.833333333</v>
      </c>
      <c r="R146" s="190">
        <f>1037782.89*0.97</f>
        <v>1006649.4033</v>
      </c>
      <c r="S146" s="190">
        <f>R146*2</f>
        <v>2013298.8066</v>
      </c>
      <c r="T146" s="190">
        <f>S146</f>
        <v>2013298.8066</v>
      </c>
      <c r="U146" s="190">
        <v>1720827</v>
      </c>
      <c r="V146" s="190">
        <f t="shared" si="48"/>
        <v>2064992.4</v>
      </c>
      <c r="W146" s="190">
        <v>2050000</v>
      </c>
      <c r="X146" s="190">
        <f>Y146*10/12</f>
        <v>1833333.3333333333</v>
      </c>
      <c r="Y146" s="190">
        <v>2200000</v>
      </c>
      <c r="Z146" s="190">
        <v>2230000</v>
      </c>
      <c r="AA146" s="191">
        <v>2217000</v>
      </c>
      <c r="AB146" s="191">
        <v>2326000</v>
      </c>
      <c r="AC146" s="196">
        <v>13.5</v>
      </c>
      <c r="AD146" s="88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</row>
    <row r="147" spans="1:256" ht="30" customHeight="1" x14ac:dyDescent="0.25">
      <c r="A147" s="197">
        <v>811000.41</v>
      </c>
      <c r="B147" s="233" t="s">
        <v>588</v>
      </c>
      <c r="C147" s="202"/>
      <c r="D147" s="203"/>
      <c r="E147" s="202"/>
      <c r="F147" s="202"/>
      <c r="G147" s="189"/>
      <c r="H147" s="204"/>
      <c r="I147" s="189"/>
      <c r="J147" s="189"/>
      <c r="K147" s="189"/>
      <c r="L147" s="189"/>
      <c r="M147" s="189"/>
      <c r="N147" s="189"/>
      <c r="O147" s="189"/>
      <c r="P147" s="188">
        <f t="shared" ref="P147:P152" si="61">L147+M147</f>
        <v>0</v>
      </c>
      <c r="Q147" s="189">
        <v>37200</v>
      </c>
      <c r="R147" s="189">
        <v>13070</v>
      </c>
      <c r="S147" s="188">
        <f t="shared" ref="S147:S152" si="62">R147*2</f>
        <v>26140</v>
      </c>
      <c r="T147" s="188">
        <v>30000</v>
      </c>
      <c r="U147" s="189">
        <v>26096</v>
      </c>
      <c r="V147" s="190">
        <f t="shared" si="48"/>
        <v>31315.200000000001</v>
      </c>
      <c r="W147" s="188">
        <v>36000</v>
      </c>
      <c r="X147" s="188">
        <v>22876</v>
      </c>
      <c r="Y147" s="188">
        <v>36000</v>
      </c>
      <c r="Z147" s="188">
        <f t="shared" ref="Z147:Z152" si="63">Y147</f>
        <v>36000</v>
      </c>
      <c r="AA147" s="198">
        <v>34000</v>
      </c>
      <c r="AB147" s="198">
        <v>34000</v>
      </c>
      <c r="AC147" s="196"/>
      <c r="AD147" s="88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</row>
    <row r="148" spans="1:256" ht="30" customHeight="1" x14ac:dyDescent="0.25">
      <c r="A148" s="214">
        <v>811000.51100000006</v>
      </c>
      <c r="B148" s="232" t="s">
        <v>212</v>
      </c>
      <c r="C148" s="194">
        <v>6000</v>
      </c>
      <c r="D148" s="187"/>
      <c r="E148" s="194">
        <v>1629</v>
      </c>
      <c r="F148" s="194">
        <v>5000</v>
      </c>
      <c r="G148" s="188">
        <v>6000</v>
      </c>
      <c r="H148" s="195">
        <v>4447</v>
      </c>
      <c r="I148" s="188">
        <v>5976</v>
      </c>
      <c r="J148" s="189"/>
      <c r="K148" s="189">
        <f t="shared" si="49"/>
        <v>7968</v>
      </c>
      <c r="L148" s="189">
        <v>2415</v>
      </c>
      <c r="M148" s="189">
        <f t="shared" si="41"/>
        <v>1207.5</v>
      </c>
      <c r="N148" s="188">
        <v>8000</v>
      </c>
      <c r="O148" s="188">
        <v>3300</v>
      </c>
      <c r="P148" s="188">
        <f t="shared" si="61"/>
        <v>3622.5</v>
      </c>
      <c r="Q148" s="188">
        <f>O148</f>
        <v>3300</v>
      </c>
      <c r="R148" s="188">
        <v>1985</v>
      </c>
      <c r="S148" s="188">
        <f t="shared" si="62"/>
        <v>3970</v>
      </c>
      <c r="T148" s="188">
        <v>3970</v>
      </c>
      <c r="U148" s="188">
        <v>2235</v>
      </c>
      <c r="V148" s="190">
        <f t="shared" si="48"/>
        <v>2682</v>
      </c>
      <c r="W148" s="188">
        <v>4000</v>
      </c>
      <c r="X148" s="188">
        <v>1820</v>
      </c>
      <c r="Y148" s="188">
        <v>4000</v>
      </c>
      <c r="Z148" s="188">
        <f t="shared" si="63"/>
        <v>4000</v>
      </c>
      <c r="AA148" s="198">
        <v>5000</v>
      </c>
      <c r="AB148" s="198">
        <v>5000</v>
      </c>
      <c r="AC148" s="196"/>
      <c r="AD148" s="88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</row>
    <row r="149" spans="1:256" ht="30" customHeight="1" x14ac:dyDescent="0.25">
      <c r="A149" s="214">
        <v>811000.52099999995</v>
      </c>
      <c r="B149" s="232" t="s">
        <v>31</v>
      </c>
      <c r="C149" s="194">
        <v>4000</v>
      </c>
      <c r="D149" s="187"/>
      <c r="E149" s="194">
        <v>3970</v>
      </c>
      <c r="F149" s="194">
        <v>5000</v>
      </c>
      <c r="G149" s="188">
        <v>5000</v>
      </c>
      <c r="H149" s="195">
        <v>5435</v>
      </c>
      <c r="I149" s="188">
        <v>7205</v>
      </c>
      <c r="J149" s="189"/>
      <c r="K149" s="189">
        <f t="shared" si="49"/>
        <v>9606.6666666666661</v>
      </c>
      <c r="L149" s="189">
        <v>4980</v>
      </c>
      <c r="M149" s="189">
        <f t="shared" si="41"/>
        <v>2490</v>
      </c>
      <c r="N149" s="188">
        <v>10000</v>
      </c>
      <c r="O149" s="188">
        <v>10000</v>
      </c>
      <c r="P149" s="188">
        <f t="shared" si="61"/>
        <v>7470</v>
      </c>
      <c r="Q149" s="188">
        <f>O149</f>
        <v>10000</v>
      </c>
      <c r="R149" s="188">
        <v>9760</v>
      </c>
      <c r="S149" s="188">
        <f t="shared" si="62"/>
        <v>19520</v>
      </c>
      <c r="T149" s="188">
        <v>19520</v>
      </c>
      <c r="U149" s="188">
        <v>10260</v>
      </c>
      <c r="V149" s="190">
        <f t="shared" si="48"/>
        <v>12312</v>
      </c>
      <c r="W149" s="188">
        <v>10000</v>
      </c>
      <c r="X149" s="188">
        <v>13472</v>
      </c>
      <c r="Y149" s="188">
        <v>13000</v>
      </c>
      <c r="Z149" s="188">
        <f t="shared" si="63"/>
        <v>13000</v>
      </c>
      <c r="AA149" s="198">
        <v>8000</v>
      </c>
      <c r="AB149" s="198">
        <v>8000</v>
      </c>
      <c r="AC149" s="196"/>
      <c r="AD149" s="88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</row>
    <row r="150" spans="1:256" ht="30" customHeight="1" x14ac:dyDescent="0.25">
      <c r="A150" s="214">
        <v>811000.54</v>
      </c>
      <c r="B150" s="232" t="s">
        <v>32</v>
      </c>
      <c r="C150" s="194">
        <v>30000</v>
      </c>
      <c r="D150" s="187"/>
      <c r="E150" s="194">
        <v>54926</v>
      </c>
      <c r="F150" s="194">
        <v>45000</v>
      </c>
      <c r="G150" s="189">
        <f>45000-3000</f>
        <v>42000</v>
      </c>
      <c r="H150" s="195">
        <v>30770</v>
      </c>
      <c r="I150" s="188">
        <v>28954</v>
      </c>
      <c r="J150" s="189"/>
      <c r="K150" s="189">
        <f t="shared" si="49"/>
        <v>38605.333333333336</v>
      </c>
      <c r="L150" s="189">
        <v>24604</v>
      </c>
      <c r="M150" s="189">
        <f t="shared" si="41"/>
        <v>12302</v>
      </c>
      <c r="N150" s="189">
        <v>40000</v>
      </c>
      <c r="O150" s="188">
        <v>36500</v>
      </c>
      <c r="P150" s="188">
        <f t="shared" si="61"/>
        <v>36906</v>
      </c>
      <c r="Q150" s="188">
        <f>O150</f>
        <v>36500</v>
      </c>
      <c r="R150" s="188">
        <v>18298</v>
      </c>
      <c r="S150" s="188">
        <f t="shared" si="62"/>
        <v>36596</v>
      </c>
      <c r="T150" s="188">
        <v>36596</v>
      </c>
      <c r="U150" s="188">
        <v>33084</v>
      </c>
      <c r="V150" s="190">
        <f t="shared" si="48"/>
        <v>39700.800000000003</v>
      </c>
      <c r="W150" s="188">
        <v>37000</v>
      </c>
      <c r="X150" s="188">
        <v>40557</v>
      </c>
      <c r="Y150" s="188">
        <v>40000</v>
      </c>
      <c r="Z150" s="188">
        <f t="shared" si="63"/>
        <v>40000</v>
      </c>
      <c r="AA150" s="198">
        <v>40000</v>
      </c>
      <c r="AB150" s="198">
        <v>40000</v>
      </c>
      <c r="AC150" s="196"/>
      <c r="AD150" s="88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</row>
    <row r="151" spans="1:256" ht="30" customHeight="1" x14ac:dyDescent="0.25">
      <c r="A151" s="214">
        <v>811000.56</v>
      </c>
      <c r="B151" s="232" t="s">
        <v>33</v>
      </c>
      <c r="C151" s="194">
        <v>15000</v>
      </c>
      <c r="D151" s="187"/>
      <c r="E151" s="194">
        <v>17261</v>
      </c>
      <c r="F151" s="194">
        <v>15000</v>
      </c>
      <c r="G151" s="188">
        <v>32000</v>
      </c>
      <c r="H151" s="195">
        <v>23968</v>
      </c>
      <c r="I151" s="188">
        <v>23946</v>
      </c>
      <c r="J151" s="189"/>
      <c r="K151" s="189">
        <f t="shared" si="49"/>
        <v>31928</v>
      </c>
      <c r="L151" s="189">
        <v>6100</v>
      </c>
      <c r="M151" s="189">
        <f t="shared" si="41"/>
        <v>3050</v>
      </c>
      <c r="N151" s="188">
        <v>32000</v>
      </c>
      <c r="O151" s="188">
        <v>16100</v>
      </c>
      <c r="P151" s="188">
        <f t="shared" si="61"/>
        <v>9150</v>
      </c>
      <c r="Q151" s="188">
        <f>O151</f>
        <v>16100</v>
      </c>
      <c r="R151" s="188">
        <v>12537</v>
      </c>
      <c r="S151" s="188">
        <f t="shared" si="62"/>
        <v>25074</v>
      </c>
      <c r="T151" s="188">
        <v>25074</v>
      </c>
      <c r="U151" s="188">
        <v>20289</v>
      </c>
      <c r="V151" s="190">
        <f t="shared" si="48"/>
        <v>24346.799999999999</v>
      </c>
      <c r="W151" s="188">
        <v>25000</v>
      </c>
      <c r="X151" s="188">
        <v>10268</v>
      </c>
      <c r="Y151" s="188">
        <v>25000</v>
      </c>
      <c r="Z151" s="188">
        <f t="shared" si="63"/>
        <v>25000</v>
      </c>
      <c r="AA151" s="198">
        <v>2000</v>
      </c>
      <c r="AB151" s="198">
        <v>2000</v>
      </c>
      <c r="AC151" s="196"/>
      <c r="AD151" s="88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</row>
    <row r="152" spans="1:256" ht="30" customHeight="1" x14ac:dyDescent="0.25">
      <c r="A152" s="214">
        <v>811000.78</v>
      </c>
      <c r="B152" s="232" t="s">
        <v>395</v>
      </c>
      <c r="C152" s="194">
        <v>55000</v>
      </c>
      <c r="D152" s="187"/>
      <c r="E152" s="194">
        <v>14807</v>
      </c>
      <c r="F152" s="194">
        <v>35000</v>
      </c>
      <c r="G152" s="188">
        <v>61000</v>
      </c>
      <c r="H152" s="195">
        <v>2697</v>
      </c>
      <c r="I152" s="188">
        <v>62238</v>
      </c>
      <c r="J152" s="189"/>
      <c r="K152" s="189">
        <f t="shared" si="49"/>
        <v>82984</v>
      </c>
      <c r="L152" s="189">
        <v>21081</v>
      </c>
      <c r="M152" s="189">
        <f t="shared" si="41"/>
        <v>10540.5</v>
      </c>
      <c r="N152" s="188">
        <v>61000</v>
      </c>
      <c r="O152" s="188">
        <v>38200</v>
      </c>
      <c r="P152" s="188">
        <f t="shared" si="61"/>
        <v>31621.5</v>
      </c>
      <c r="Q152" s="188">
        <f>O152</f>
        <v>38200</v>
      </c>
      <c r="R152" s="188">
        <v>16746</v>
      </c>
      <c r="S152" s="188">
        <f t="shared" si="62"/>
        <v>33492</v>
      </c>
      <c r="T152" s="188">
        <f>Q152</f>
        <v>38200</v>
      </c>
      <c r="U152" s="188">
        <v>31010</v>
      </c>
      <c r="V152" s="190">
        <f t="shared" si="48"/>
        <v>37212</v>
      </c>
      <c r="W152" s="188">
        <v>20000</v>
      </c>
      <c r="X152" s="188">
        <v>40725</v>
      </c>
      <c r="Y152" s="188">
        <v>45000</v>
      </c>
      <c r="Z152" s="188">
        <f t="shared" si="63"/>
        <v>45000</v>
      </c>
      <c r="AA152" s="198">
        <v>55000</v>
      </c>
      <c r="AB152" s="198">
        <v>60000</v>
      </c>
      <c r="AC152" s="196"/>
      <c r="AD152" s="88"/>
      <c r="AE152" s="5">
        <v>3</v>
      </c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</row>
    <row r="153" spans="1:256" ht="30" customHeight="1" x14ac:dyDescent="0.25">
      <c r="A153" s="222"/>
      <c r="B153" s="275" t="s">
        <v>132</v>
      </c>
      <c r="C153" s="211">
        <f t="shared" ref="C153:K153" si="64">SUM(C146:C152)</f>
        <v>1390000</v>
      </c>
      <c r="D153" s="211">
        <f t="shared" si="64"/>
        <v>0</v>
      </c>
      <c r="E153" s="211">
        <f t="shared" si="64"/>
        <v>1367074</v>
      </c>
      <c r="F153" s="211">
        <f t="shared" si="64"/>
        <v>1390000</v>
      </c>
      <c r="G153" s="212">
        <f>SUM(G146:G152)</f>
        <v>1688580</v>
      </c>
      <c r="H153" s="212">
        <f t="shared" si="64"/>
        <v>1196033</v>
      </c>
      <c r="I153" s="212">
        <f t="shared" si="64"/>
        <v>1268781</v>
      </c>
      <c r="J153" s="213">
        <f t="shared" si="64"/>
        <v>0</v>
      </c>
      <c r="K153" s="213">
        <f t="shared" si="64"/>
        <v>1691708</v>
      </c>
      <c r="L153" s="213">
        <f t="shared" ref="L153:T153" si="65">SUM(L146:L152)</f>
        <v>1168304</v>
      </c>
      <c r="M153" s="213">
        <f t="shared" si="65"/>
        <v>821821.42857142852</v>
      </c>
      <c r="N153" s="212">
        <f t="shared" si="65"/>
        <v>1661000</v>
      </c>
      <c r="O153" s="212">
        <f t="shared" si="65"/>
        <v>1963600</v>
      </c>
      <c r="P153" s="212">
        <f t="shared" si="65"/>
        <v>1990125.4285714286</v>
      </c>
      <c r="Q153" s="212">
        <f t="shared" si="65"/>
        <v>2177830.833333333</v>
      </c>
      <c r="R153" s="212">
        <f>SUM(R146:R152)</f>
        <v>1079045.4032999999</v>
      </c>
      <c r="S153" s="212">
        <f t="shared" si="65"/>
        <v>2158090.8065999998</v>
      </c>
      <c r="T153" s="212">
        <f t="shared" si="65"/>
        <v>2166658.8065999998</v>
      </c>
      <c r="U153" s="212">
        <f t="shared" ref="U153:AC153" si="66">SUM(U146:U152)</f>
        <v>1843801</v>
      </c>
      <c r="V153" s="212">
        <f t="shared" si="66"/>
        <v>2212561.1999999993</v>
      </c>
      <c r="W153" s="212">
        <f t="shared" si="66"/>
        <v>2182000</v>
      </c>
      <c r="X153" s="212">
        <f t="shared" si="66"/>
        <v>1963051.3333333333</v>
      </c>
      <c r="Y153" s="212">
        <f t="shared" si="66"/>
        <v>2363000</v>
      </c>
      <c r="Z153" s="212">
        <f t="shared" si="66"/>
        <v>2393000</v>
      </c>
      <c r="AA153" s="211">
        <f t="shared" si="66"/>
        <v>2361000</v>
      </c>
      <c r="AB153" s="211">
        <f t="shared" si="66"/>
        <v>2475000</v>
      </c>
      <c r="AC153" s="212">
        <f t="shared" si="66"/>
        <v>13.5</v>
      </c>
      <c r="AD153" s="88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</row>
    <row r="154" spans="1:256" ht="30" customHeight="1" x14ac:dyDescent="0.25">
      <c r="A154" s="193">
        <v>812200.11</v>
      </c>
      <c r="B154" s="232" t="s">
        <v>34</v>
      </c>
      <c r="C154" s="194">
        <v>70000</v>
      </c>
      <c r="D154" s="187"/>
      <c r="E154" s="194">
        <v>56700</v>
      </c>
      <c r="F154" s="194">
        <v>55000</v>
      </c>
      <c r="G154" s="188">
        <f>52547+661</f>
        <v>53208</v>
      </c>
      <c r="H154" s="195">
        <v>38449</v>
      </c>
      <c r="I154" s="188">
        <v>28403</v>
      </c>
      <c r="J154" s="189"/>
      <c r="K154" s="189">
        <f t="shared" si="49"/>
        <v>37870.666666666664</v>
      </c>
      <c r="L154" s="189">
        <v>21897</v>
      </c>
      <c r="M154" s="189">
        <f>L154/7*5</f>
        <v>15640.714285714286</v>
      </c>
      <c r="N154" s="190">
        <v>37871</v>
      </c>
      <c r="O154" s="190">
        <v>37900</v>
      </c>
      <c r="P154" s="190">
        <f>M154+L154</f>
        <v>37537.71428571429</v>
      </c>
      <c r="Q154" s="190">
        <f>O154*1.045</f>
        <v>39605.5</v>
      </c>
      <c r="R154" s="190">
        <f>13612.27*0.97</f>
        <v>13203.901900000001</v>
      </c>
      <c r="S154" s="190">
        <f>R154*2</f>
        <v>26407.803800000002</v>
      </c>
      <c r="T154" s="190">
        <f>S154</f>
        <v>26407.803800000002</v>
      </c>
      <c r="U154" s="190">
        <v>19830</v>
      </c>
      <c r="V154" s="190">
        <f t="shared" si="48"/>
        <v>23796</v>
      </c>
      <c r="W154" s="190">
        <v>26408</v>
      </c>
      <c r="X154" s="190">
        <v>28972</v>
      </c>
      <c r="Y154" s="190">
        <v>36000</v>
      </c>
      <c r="Z154" s="190">
        <v>40000</v>
      </c>
      <c r="AA154" s="191">
        <v>32000</v>
      </c>
      <c r="AB154" s="191">
        <v>32000</v>
      </c>
      <c r="AC154" s="196"/>
      <c r="AD154" s="88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</row>
    <row r="155" spans="1:256" ht="30" customHeight="1" x14ac:dyDescent="0.25">
      <c r="A155" s="214">
        <v>812200.43200000003</v>
      </c>
      <c r="B155" s="232" t="s">
        <v>621</v>
      </c>
      <c r="C155" s="194"/>
      <c r="D155" s="187"/>
      <c r="E155" s="194"/>
      <c r="F155" s="194"/>
      <c r="G155" s="188"/>
      <c r="H155" s="195"/>
      <c r="I155" s="188"/>
      <c r="J155" s="189"/>
      <c r="K155" s="189"/>
      <c r="L155" s="189"/>
      <c r="M155" s="189"/>
      <c r="N155" s="189"/>
      <c r="O155" s="189"/>
      <c r="P155" s="188">
        <f t="shared" ref="P155:P160" si="67">L155+M155</f>
        <v>0</v>
      </c>
      <c r="Q155" s="189">
        <v>60000</v>
      </c>
      <c r="R155" s="189">
        <v>30000</v>
      </c>
      <c r="S155" s="188">
        <v>40000</v>
      </c>
      <c r="T155" s="188">
        <v>60000</v>
      </c>
      <c r="U155" s="189">
        <v>11678</v>
      </c>
      <c r="V155" s="190">
        <f t="shared" si="48"/>
        <v>14013.6</v>
      </c>
      <c r="W155" s="188">
        <v>40000</v>
      </c>
      <c r="X155" s="188">
        <v>8751</v>
      </c>
      <c r="Y155" s="188">
        <v>10500</v>
      </c>
      <c r="Z155" s="188">
        <f t="shared" ref="Z155:Z159" si="68">Y155</f>
        <v>10500</v>
      </c>
      <c r="AA155" s="198">
        <v>44000</v>
      </c>
      <c r="AB155" s="198">
        <v>44000</v>
      </c>
      <c r="AC155" s="196"/>
      <c r="AD155" s="88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</row>
    <row r="156" spans="1:256" ht="30" customHeight="1" x14ac:dyDescent="0.25">
      <c r="A156" s="214">
        <v>812200.43299999996</v>
      </c>
      <c r="B156" s="232" t="s">
        <v>506</v>
      </c>
      <c r="C156" s="194"/>
      <c r="D156" s="187"/>
      <c r="E156" s="194"/>
      <c r="F156" s="194"/>
      <c r="G156" s="188"/>
      <c r="H156" s="195"/>
      <c r="I156" s="188"/>
      <c r="J156" s="189"/>
      <c r="K156" s="189"/>
      <c r="L156" s="189"/>
      <c r="M156" s="189"/>
      <c r="N156" s="188"/>
      <c r="O156" s="188"/>
      <c r="P156" s="188">
        <f t="shared" si="67"/>
        <v>0</v>
      </c>
      <c r="Q156" s="188">
        <f>20000+12000</f>
        <v>32000</v>
      </c>
      <c r="R156" s="188">
        <v>16000</v>
      </c>
      <c r="S156" s="188">
        <v>25000</v>
      </c>
      <c r="T156" s="188">
        <v>25000</v>
      </c>
      <c r="U156" s="188">
        <v>9200</v>
      </c>
      <c r="V156" s="190">
        <f t="shared" si="48"/>
        <v>11040</v>
      </c>
      <c r="W156" s="188">
        <v>25000</v>
      </c>
      <c r="X156" s="188">
        <v>22505</v>
      </c>
      <c r="Y156" s="188">
        <v>25000</v>
      </c>
      <c r="Z156" s="188">
        <f t="shared" si="68"/>
        <v>25000</v>
      </c>
      <c r="AA156" s="198">
        <v>32000</v>
      </c>
      <c r="AB156" s="198">
        <v>32000</v>
      </c>
      <c r="AC156" s="196"/>
      <c r="AD156" s="88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</row>
    <row r="157" spans="1:256" ht="30" customHeight="1" x14ac:dyDescent="0.25">
      <c r="A157" s="214">
        <v>812200.56</v>
      </c>
      <c r="B157" s="232" t="s">
        <v>213</v>
      </c>
      <c r="C157" s="194">
        <v>15000</v>
      </c>
      <c r="D157" s="187"/>
      <c r="E157" s="194">
        <v>17500</v>
      </c>
      <c r="F157" s="194">
        <v>15000</v>
      </c>
      <c r="G157" s="188">
        <v>27000</v>
      </c>
      <c r="H157" s="195">
        <v>20439</v>
      </c>
      <c r="I157" s="188">
        <v>0</v>
      </c>
      <c r="J157" s="189"/>
      <c r="K157" s="189">
        <f t="shared" si="49"/>
        <v>0</v>
      </c>
      <c r="L157" s="189">
        <v>25000</v>
      </c>
      <c r="M157" s="189">
        <f t="shared" si="41"/>
        <v>12500</v>
      </c>
      <c r="N157" s="188">
        <v>25000</v>
      </c>
      <c r="O157" s="188">
        <v>25000</v>
      </c>
      <c r="P157" s="188">
        <f t="shared" si="67"/>
        <v>37500</v>
      </c>
      <c r="Q157" s="188">
        <f>25000+20000</f>
        <v>45000</v>
      </c>
      <c r="R157" s="188">
        <v>2574</v>
      </c>
      <c r="S157" s="188">
        <f>R157*2</f>
        <v>5148</v>
      </c>
      <c r="T157" s="188">
        <v>10000</v>
      </c>
      <c r="U157" s="188">
        <v>9607</v>
      </c>
      <c r="V157" s="190">
        <f t="shared" si="48"/>
        <v>11528.4</v>
      </c>
      <c r="W157" s="188">
        <v>20000</v>
      </c>
      <c r="X157" s="188">
        <v>20000</v>
      </c>
      <c r="Y157" s="188">
        <v>20000</v>
      </c>
      <c r="Z157" s="188">
        <f t="shared" si="68"/>
        <v>20000</v>
      </c>
      <c r="AA157" s="198">
        <v>6000</v>
      </c>
      <c r="AB157" s="198">
        <v>6000</v>
      </c>
      <c r="AC157" s="196"/>
      <c r="AD157" s="88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</row>
    <row r="158" spans="1:256" ht="30" customHeight="1" x14ac:dyDescent="0.25">
      <c r="A158" s="214">
        <v>812200.72</v>
      </c>
      <c r="B158" s="232" t="s">
        <v>75</v>
      </c>
      <c r="C158" s="194">
        <v>2000</v>
      </c>
      <c r="D158" s="187"/>
      <c r="E158" s="194">
        <v>3986</v>
      </c>
      <c r="F158" s="194">
        <v>2000</v>
      </c>
      <c r="G158" s="189">
        <f>20000-4000</f>
        <v>16000</v>
      </c>
      <c r="H158" s="195">
        <v>10428</v>
      </c>
      <c r="I158" s="188">
        <v>8580</v>
      </c>
      <c r="J158" s="189"/>
      <c r="K158" s="189">
        <f t="shared" si="49"/>
        <v>11440</v>
      </c>
      <c r="L158" s="189">
        <v>10428</v>
      </c>
      <c r="M158" s="189">
        <f t="shared" si="41"/>
        <v>5214</v>
      </c>
      <c r="N158" s="189">
        <v>12000</v>
      </c>
      <c r="O158" s="188">
        <v>12000</v>
      </c>
      <c r="P158" s="188">
        <f t="shared" si="67"/>
        <v>15642</v>
      </c>
      <c r="Q158" s="188">
        <v>40000</v>
      </c>
      <c r="R158" s="188">
        <v>10415</v>
      </c>
      <c r="S158" s="188">
        <v>20000</v>
      </c>
      <c r="T158" s="188">
        <v>20000</v>
      </c>
      <c r="U158" s="188">
        <v>37415</v>
      </c>
      <c r="V158" s="190">
        <f t="shared" si="48"/>
        <v>44898</v>
      </c>
      <c r="W158" s="188">
        <v>40000</v>
      </c>
      <c r="X158" s="188">
        <v>42955</v>
      </c>
      <c r="Y158" s="188">
        <v>45000</v>
      </c>
      <c r="Z158" s="188">
        <f t="shared" si="68"/>
        <v>45000</v>
      </c>
      <c r="AA158" s="198">
        <v>14000</v>
      </c>
      <c r="AB158" s="198">
        <v>14000</v>
      </c>
      <c r="AC158" s="196"/>
      <c r="AD158" s="88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</row>
    <row r="159" spans="1:256" ht="30" customHeight="1" x14ac:dyDescent="0.25">
      <c r="A159" s="214">
        <v>812200.74</v>
      </c>
      <c r="B159" s="232" t="s">
        <v>76</v>
      </c>
      <c r="C159" s="194">
        <v>220000</v>
      </c>
      <c r="D159" s="187"/>
      <c r="E159" s="194">
        <v>100750</v>
      </c>
      <c r="F159" s="194">
        <v>120000</v>
      </c>
      <c r="G159" s="189">
        <v>165000</v>
      </c>
      <c r="H159" s="195">
        <v>124398</v>
      </c>
      <c r="I159" s="188">
        <v>47801</v>
      </c>
      <c r="J159" s="189"/>
      <c r="K159" s="189">
        <f t="shared" si="49"/>
        <v>63734.666666666664</v>
      </c>
      <c r="L159" s="189">
        <v>62227</v>
      </c>
      <c r="M159" s="189">
        <f t="shared" si="41"/>
        <v>31113.5</v>
      </c>
      <c r="N159" s="189">
        <v>65000</v>
      </c>
      <c r="O159" s="188">
        <v>65000</v>
      </c>
      <c r="P159" s="188">
        <f t="shared" si="67"/>
        <v>93340.5</v>
      </c>
      <c r="Q159" s="188">
        <f>O159</f>
        <v>65000</v>
      </c>
      <c r="R159" s="188">
        <v>26000</v>
      </c>
      <c r="S159" s="188">
        <f>R159*2</f>
        <v>52000</v>
      </c>
      <c r="T159" s="188">
        <v>52000</v>
      </c>
      <c r="U159" s="188">
        <v>33442</v>
      </c>
      <c r="V159" s="190">
        <f t="shared" si="48"/>
        <v>40130.400000000001</v>
      </c>
      <c r="W159" s="188">
        <v>42000</v>
      </c>
      <c r="X159" s="188">
        <v>40670</v>
      </c>
      <c r="Y159" s="188">
        <v>48800</v>
      </c>
      <c r="Z159" s="188">
        <f t="shared" si="68"/>
        <v>48800</v>
      </c>
      <c r="AA159" s="198">
        <v>7000</v>
      </c>
      <c r="AB159" s="198">
        <v>7000</v>
      </c>
      <c r="AC159" s="196"/>
      <c r="AD159" s="88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</row>
    <row r="160" spans="1:256" ht="30" customHeight="1" x14ac:dyDescent="0.25">
      <c r="A160" s="214">
        <v>812200.78</v>
      </c>
      <c r="B160" s="232" t="s">
        <v>77</v>
      </c>
      <c r="C160" s="202">
        <v>100000</v>
      </c>
      <c r="D160" s="187"/>
      <c r="E160" s="194">
        <v>92116</v>
      </c>
      <c r="F160" s="202">
        <v>100000</v>
      </c>
      <c r="G160" s="189">
        <f>100000-4000</f>
        <v>96000</v>
      </c>
      <c r="H160" s="204">
        <v>70485</v>
      </c>
      <c r="I160" s="188">
        <v>68798</v>
      </c>
      <c r="J160" s="189"/>
      <c r="K160" s="189">
        <f t="shared" si="49"/>
        <v>91730.666666666672</v>
      </c>
      <c r="L160" s="189">
        <v>33200</v>
      </c>
      <c r="M160" s="189">
        <f t="shared" si="41"/>
        <v>16600</v>
      </c>
      <c r="N160" s="189">
        <v>96000</v>
      </c>
      <c r="O160" s="188">
        <v>96000</v>
      </c>
      <c r="P160" s="188">
        <f t="shared" si="67"/>
        <v>49800</v>
      </c>
      <c r="Q160" s="188">
        <v>70000</v>
      </c>
      <c r="R160" s="188">
        <v>4756</v>
      </c>
      <c r="S160" s="188">
        <f>R160*2</f>
        <v>9512</v>
      </c>
      <c r="T160" s="188">
        <v>25000</v>
      </c>
      <c r="U160" s="188">
        <v>39412</v>
      </c>
      <c r="V160" s="190">
        <f t="shared" si="48"/>
        <v>47294.400000000001</v>
      </c>
      <c r="W160" s="188">
        <v>25000</v>
      </c>
      <c r="X160" s="188">
        <v>63070</v>
      </c>
      <c r="Y160" s="188">
        <v>75000</v>
      </c>
      <c r="Z160" s="189">
        <f>75000+100000</f>
        <v>175000</v>
      </c>
      <c r="AA160" s="205">
        <v>150000</v>
      </c>
      <c r="AB160" s="205">
        <v>80000</v>
      </c>
      <c r="AC160" s="196"/>
      <c r="AD160" s="88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</row>
    <row r="161" spans="1:256" ht="30" customHeight="1" x14ac:dyDescent="0.25">
      <c r="A161" s="193">
        <v>812201.11</v>
      </c>
      <c r="B161" s="232" t="s">
        <v>214</v>
      </c>
      <c r="C161" s="194">
        <v>130000</v>
      </c>
      <c r="D161" s="187"/>
      <c r="E161" s="194">
        <v>151242</v>
      </c>
      <c r="F161" s="194">
        <v>155000</v>
      </c>
      <c r="G161" s="188">
        <v>165355</v>
      </c>
      <c r="H161" s="195">
        <v>120988</v>
      </c>
      <c r="I161" s="188">
        <v>74143</v>
      </c>
      <c r="J161" s="189"/>
      <c r="K161" s="189">
        <f t="shared" si="49"/>
        <v>98857.333333333328</v>
      </c>
      <c r="L161" s="189">
        <v>63131</v>
      </c>
      <c r="M161" s="189">
        <f>L161/7*5</f>
        <v>45093.571428571435</v>
      </c>
      <c r="N161" s="190">
        <v>155800</v>
      </c>
      <c r="O161" s="190">
        <v>98000</v>
      </c>
      <c r="P161" s="190">
        <f t="shared" ref="P161:P171" si="69">M161+L161</f>
        <v>108224.57142857143</v>
      </c>
      <c r="Q161" s="190">
        <f t="shared" ref="Q161:Q170" si="70">O161*1.045</f>
        <v>102410</v>
      </c>
      <c r="R161" s="190">
        <f>110260.09*0.97</f>
        <v>106952.2873</v>
      </c>
      <c r="S161" s="190">
        <f t="shared" ref="S161:S170" si="71">R161*2</f>
        <v>213904.57459999999</v>
      </c>
      <c r="T161" s="190">
        <f t="shared" ref="T161:T171" si="72">S161</f>
        <v>213904.57459999999</v>
      </c>
      <c r="U161" s="190">
        <v>178155</v>
      </c>
      <c r="V161" s="190">
        <f t="shared" si="48"/>
        <v>213786</v>
      </c>
      <c r="W161" s="190">
        <v>230000</v>
      </c>
      <c r="X161" s="190">
        <f>Y161*10/12</f>
        <v>258333.33333333334</v>
      </c>
      <c r="Y161" s="190">
        <v>310000</v>
      </c>
      <c r="Z161" s="190">
        <v>315000</v>
      </c>
      <c r="AA161" s="191">
        <v>333000</v>
      </c>
      <c r="AB161" s="191">
        <v>331000</v>
      </c>
      <c r="AC161" s="196">
        <v>3</v>
      </c>
      <c r="AD161" s="88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</row>
    <row r="162" spans="1:256" ht="30" customHeight="1" x14ac:dyDescent="0.25">
      <c r="A162" s="193">
        <v>812202.11</v>
      </c>
      <c r="B162" s="232" t="s">
        <v>214</v>
      </c>
      <c r="C162" s="194">
        <v>300000</v>
      </c>
      <c r="D162" s="187"/>
      <c r="E162" s="194">
        <v>324565</v>
      </c>
      <c r="F162" s="194">
        <v>328000</v>
      </c>
      <c r="G162" s="188">
        <v>385355</v>
      </c>
      <c r="H162" s="195">
        <v>281965</v>
      </c>
      <c r="I162" s="188">
        <v>279613</v>
      </c>
      <c r="J162" s="189"/>
      <c r="K162" s="189">
        <f t="shared" si="49"/>
        <v>372817.33333333331</v>
      </c>
      <c r="L162" s="189">
        <v>219490</v>
      </c>
      <c r="M162" s="189">
        <f t="shared" ref="M162:M170" si="73">L162/7*5</f>
        <v>156778.57142857142</v>
      </c>
      <c r="N162" s="190">
        <v>364000</v>
      </c>
      <c r="O162" s="190">
        <v>380600</v>
      </c>
      <c r="P162" s="190">
        <f t="shared" si="69"/>
        <v>376268.57142857142</v>
      </c>
      <c r="Q162" s="190">
        <f t="shared" si="70"/>
        <v>397727</v>
      </c>
      <c r="R162" s="190">
        <f>208452*0.98</f>
        <v>204282.96</v>
      </c>
      <c r="S162" s="190">
        <f t="shared" si="71"/>
        <v>408565.92</v>
      </c>
      <c r="T162" s="190">
        <f t="shared" si="72"/>
        <v>408565.92</v>
      </c>
      <c r="U162" s="190">
        <v>352601</v>
      </c>
      <c r="V162" s="190">
        <f t="shared" si="48"/>
        <v>423121.2</v>
      </c>
      <c r="W162" s="190">
        <v>420000</v>
      </c>
      <c r="X162" s="190">
        <f t="shared" ref="X162:X170" si="74">Y162*10/12</f>
        <v>395833.33333333331</v>
      </c>
      <c r="Y162" s="190">
        <v>475000</v>
      </c>
      <c r="Z162" s="190">
        <v>480000</v>
      </c>
      <c r="AA162" s="191">
        <v>390000</v>
      </c>
      <c r="AB162" s="191">
        <v>483000</v>
      </c>
      <c r="AC162" s="196">
        <v>4</v>
      </c>
      <c r="AD162" s="88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</row>
    <row r="163" spans="1:256" ht="30" customHeight="1" x14ac:dyDescent="0.25">
      <c r="A163" s="193">
        <v>812203.11</v>
      </c>
      <c r="B163" s="232" t="s">
        <v>214</v>
      </c>
      <c r="C163" s="194">
        <v>200000</v>
      </c>
      <c r="D163" s="187"/>
      <c r="E163" s="194">
        <v>187071</v>
      </c>
      <c r="F163" s="194">
        <v>192000</v>
      </c>
      <c r="G163" s="188">
        <v>214730</v>
      </c>
      <c r="H163" s="195">
        <v>157118</v>
      </c>
      <c r="I163" s="188">
        <v>157096</v>
      </c>
      <c r="J163" s="189"/>
      <c r="K163" s="189">
        <f t="shared" si="49"/>
        <v>209461.33333333334</v>
      </c>
      <c r="L163" s="189">
        <v>124943</v>
      </c>
      <c r="M163" s="189">
        <f t="shared" si="73"/>
        <v>89245</v>
      </c>
      <c r="N163" s="190">
        <v>209461</v>
      </c>
      <c r="O163" s="190">
        <v>219300</v>
      </c>
      <c r="P163" s="190">
        <f t="shared" si="69"/>
        <v>214188</v>
      </c>
      <c r="Q163" s="190">
        <f t="shared" si="70"/>
        <v>229168.49999999997</v>
      </c>
      <c r="R163" s="190">
        <f>173865*0.98</f>
        <v>170387.69999999998</v>
      </c>
      <c r="S163" s="190">
        <f t="shared" si="71"/>
        <v>340775.39999999997</v>
      </c>
      <c r="T163" s="190">
        <f t="shared" si="72"/>
        <v>340775.39999999997</v>
      </c>
      <c r="U163" s="190">
        <v>292514</v>
      </c>
      <c r="V163" s="190">
        <f t="shared" si="48"/>
        <v>351016.8</v>
      </c>
      <c r="W163" s="190">
        <v>369000</v>
      </c>
      <c r="X163" s="190">
        <f t="shared" si="74"/>
        <v>295833.33333333331</v>
      </c>
      <c r="Y163" s="190">
        <v>355000</v>
      </c>
      <c r="Z163" s="190">
        <v>360000</v>
      </c>
      <c r="AA163" s="191">
        <v>374000</v>
      </c>
      <c r="AB163" s="191">
        <v>358000</v>
      </c>
      <c r="AC163" s="196">
        <v>3</v>
      </c>
      <c r="AD163" s="88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</row>
    <row r="164" spans="1:256" ht="30" customHeight="1" x14ac:dyDescent="0.25">
      <c r="A164" s="193">
        <v>812204.11</v>
      </c>
      <c r="B164" s="232" t="s">
        <v>214</v>
      </c>
      <c r="C164" s="194">
        <v>155000</v>
      </c>
      <c r="D164" s="187"/>
      <c r="E164" s="194">
        <v>153166</v>
      </c>
      <c r="F164" s="194">
        <v>155000</v>
      </c>
      <c r="G164" s="188">
        <v>180755</v>
      </c>
      <c r="H164" s="195">
        <v>132259</v>
      </c>
      <c r="I164" s="188">
        <v>134195</v>
      </c>
      <c r="J164" s="189"/>
      <c r="K164" s="189">
        <f t="shared" si="49"/>
        <v>178926.66666666666</v>
      </c>
      <c r="L164" s="189">
        <v>119307</v>
      </c>
      <c r="M164" s="189">
        <f t="shared" si="73"/>
        <v>85219.28571428571</v>
      </c>
      <c r="N164" s="190">
        <v>172000</v>
      </c>
      <c r="O164" s="190">
        <v>189300</v>
      </c>
      <c r="P164" s="190">
        <f t="shared" si="69"/>
        <v>204526.28571428571</v>
      </c>
      <c r="Q164" s="190">
        <f t="shared" si="70"/>
        <v>197818.5</v>
      </c>
      <c r="R164" s="190">
        <f>109097*0.98</f>
        <v>106915.06</v>
      </c>
      <c r="S164" s="190">
        <f t="shared" si="71"/>
        <v>213830.12</v>
      </c>
      <c r="T164" s="190">
        <f t="shared" si="72"/>
        <v>213830.12</v>
      </c>
      <c r="U164" s="190">
        <v>177718</v>
      </c>
      <c r="V164" s="190">
        <f t="shared" si="48"/>
        <v>213261.6</v>
      </c>
      <c r="W164" s="190">
        <v>223000</v>
      </c>
      <c r="X164" s="190">
        <f t="shared" si="74"/>
        <v>180000</v>
      </c>
      <c r="Y164" s="190">
        <v>216000</v>
      </c>
      <c r="Z164" s="190">
        <v>220000</v>
      </c>
      <c r="AA164" s="191">
        <v>229000</v>
      </c>
      <c r="AB164" s="191">
        <v>223000</v>
      </c>
      <c r="AC164" s="196">
        <v>2</v>
      </c>
      <c r="AD164" s="88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</row>
    <row r="165" spans="1:256" ht="30" customHeight="1" x14ac:dyDescent="0.25">
      <c r="A165" s="193">
        <v>812205.11</v>
      </c>
      <c r="B165" s="232" t="s">
        <v>214</v>
      </c>
      <c r="C165" s="194">
        <v>160000</v>
      </c>
      <c r="D165" s="187"/>
      <c r="E165" s="194">
        <v>165375</v>
      </c>
      <c r="F165" s="194">
        <v>169000</v>
      </c>
      <c r="G165" s="188">
        <v>191165</v>
      </c>
      <c r="H165" s="195">
        <v>139876</v>
      </c>
      <c r="I165" s="188">
        <v>197756</v>
      </c>
      <c r="J165" s="189"/>
      <c r="K165" s="189">
        <f t="shared" si="49"/>
        <v>263674.66666666669</v>
      </c>
      <c r="L165" s="189">
        <v>176413</v>
      </c>
      <c r="M165" s="189">
        <f t="shared" si="73"/>
        <v>126009.28571428571</v>
      </c>
      <c r="N165" s="190">
        <v>255000</v>
      </c>
      <c r="O165" s="190">
        <v>276600</v>
      </c>
      <c r="P165" s="190">
        <f t="shared" si="69"/>
        <v>302422.28571428568</v>
      </c>
      <c r="Q165" s="190">
        <f t="shared" si="70"/>
        <v>289047</v>
      </c>
      <c r="R165" s="190">
        <f>102154*0.98</f>
        <v>100110.92</v>
      </c>
      <c r="S165" s="190">
        <f t="shared" si="71"/>
        <v>200221.84</v>
      </c>
      <c r="T165" s="190">
        <f t="shared" si="72"/>
        <v>200221.84</v>
      </c>
      <c r="U165" s="190">
        <v>155579</v>
      </c>
      <c r="V165" s="190">
        <f t="shared" si="48"/>
        <v>186694.8</v>
      </c>
      <c r="W165" s="190">
        <v>223000</v>
      </c>
      <c r="X165" s="190">
        <f t="shared" si="74"/>
        <v>161250</v>
      </c>
      <c r="Y165" s="190">
        <v>193500</v>
      </c>
      <c r="Z165" s="190">
        <v>210000</v>
      </c>
      <c r="AA165" s="191">
        <v>211000</v>
      </c>
      <c r="AB165" s="191">
        <v>191000</v>
      </c>
      <c r="AC165" s="196">
        <v>2</v>
      </c>
      <c r="AD165" s="88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</row>
    <row r="166" spans="1:256" ht="30" customHeight="1" x14ac:dyDescent="0.25">
      <c r="A166" s="193">
        <v>812206.11</v>
      </c>
      <c r="B166" s="232" t="s">
        <v>214</v>
      </c>
      <c r="C166" s="194">
        <v>162000</v>
      </c>
      <c r="D166" s="187"/>
      <c r="E166" s="194">
        <v>168585</v>
      </c>
      <c r="F166" s="194">
        <v>167000</v>
      </c>
      <c r="G166" s="188">
        <v>206015</v>
      </c>
      <c r="H166" s="195">
        <v>150744</v>
      </c>
      <c r="I166" s="188">
        <v>135542</v>
      </c>
      <c r="J166" s="189"/>
      <c r="K166" s="189">
        <f t="shared" si="49"/>
        <v>180722.66666666666</v>
      </c>
      <c r="L166" s="189">
        <v>124336</v>
      </c>
      <c r="M166" s="189">
        <f t="shared" si="73"/>
        <v>88811.428571428565</v>
      </c>
      <c r="N166" s="190">
        <v>181000</v>
      </c>
      <c r="O166" s="190">
        <v>198600</v>
      </c>
      <c r="P166" s="190">
        <f t="shared" si="69"/>
        <v>213147.42857142858</v>
      </c>
      <c r="Q166" s="190">
        <f t="shared" si="70"/>
        <v>207537</v>
      </c>
      <c r="R166" s="190">
        <f>122519*0.98</f>
        <v>120068.62</v>
      </c>
      <c r="S166" s="190">
        <f t="shared" si="71"/>
        <v>240137.24</v>
      </c>
      <c r="T166" s="190">
        <f t="shared" si="72"/>
        <v>240137.24</v>
      </c>
      <c r="U166" s="190">
        <v>179012</v>
      </c>
      <c r="V166" s="190">
        <f t="shared" si="48"/>
        <v>214814.4</v>
      </c>
      <c r="W166" s="190">
        <v>223000</v>
      </c>
      <c r="X166" s="190">
        <f t="shared" si="74"/>
        <v>209166.66666666666</v>
      </c>
      <c r="Y166" s="190">
        <v>251000</v>
      </c>
      <c r="Z166" s="190">
        <v>260000</v>
      </c>
      <c r="AA166" s="191">
        <v>254000</v>
      </c>
      <c r="AB166" s="191">
        <v>237000</v>
      </c>
      <c r="AC166" s="196">
        <v>2</v>
      </c>
      <c r="AD166" s="88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</row>
    <row r="167" spans="1:256" ht="30" customHeight="1" x14ac:dyDescent="0.25">
      <c r="A167" s="193">
        <v>812207.11</v>
      </c>
      <c r="B167" s="232" t="s">
        <v>214</v>
      </c>
      <c r="C167" s="194">
        <v>155000</v>
      </c>
      <c r="D167" s="187"/>
      <c r="E167" s="194">
        <v>156959</v>
      </c>
      <c r="F167" s="194">
        <v>160000</v>
      </c>
      <c r="G167" s="188">
        <v>176435</v>
      </c>
      <c r="H167" s="195">
        <v>129102</v>
      </c>
      <c r="I167" s="188">
        <v>153374</v>
      </c>
      <c r="J167" s="189"/>
      <c r="K167" s="189">
        <f t="shared" si="49"/>
        <v>204498.66666666666</v>
      </c>
      <c r="L167" s="189">
        <v>106604</v>
      </c>
      <c r="M167" s="189">
        <f t="shared" si="73"/>
        <v>76145.71428571429</v>
      </c>
      <c r="N167" s="190">
        <v>196030</v>
      </c>
      <c r="O167" s="190">
        <v>165500</v>
      </c>
      <c r="P167" s="190">
        <f t="shared" si="69"/>
        <v>182749.71428571429</v>
      </c>
      <c r="Q167" s="190">
        <f t="shared" si="70"/>
        <v>172947.5</v>
      </c>
      <c r="R167" s="190">
        <f>94518*0.98</f>
        <v>92627.64</v>
      </c>
      <c r="S167" s="190">
        <f t="shared" si="71"/>
        <v>185255.28</v>
      </c>
      <c r="T167" s="190">
        <f t="shared" si="72"/>
        <v>185255.28</v>
      </c>
      <c r="U167" s="190">
        <v>144705</v>
      </c>
      <c r="V167" s="190">
        <f t="shared" si="48"/>
        <v>173646</v>
      </c>
      <c r="W167" s="190">
        <v>223000</v>
      </c>
      <c r="X167" s="190">
        <f t="shared" si="74"/>
        <v>155000</v>
      </c>
      <c r="Y167" s="190">
        <v>186000</v>
      </c>
      <c r="Z167" s="190">
        <v>190000</v>
      </c>
      <c r="AA167" s="191">
        <v>201000</v>
      </c>
      <c r="AB167" s="191">
        <v>195000</v>
      </c>
      <c r="AC167" s="196">
        <v>2</v>
      </c>
      <c r="AD167" s="88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</row>
    <row r="168" spans="1:256" ht="30" customHeight="1" x14ac:dyDescent="0.25">
      <c r="A168" s="193">
        <v>812208.11</v>
      </c>
      <c r="B168" s="232" t="s">
        <v>214</v>
      </c>
      <c r="C168" s="194">
        <v>230000</v>
      </c>
      <c r="D168" s="187"/>
      <c r="E168" s="194">
        <v>230165</v>
      </c>
      <c r="F168" s="194">
        <v>232000</v>
      </c>
      <c r="G168" s="188">
        <v>255126</v>
      </c>
      <c r="H168" s="195">
        <v>186678</v>
      </c>
      <c r="I168" s="188">
        <v>210063</v>
      </c>
      <c r="J168" s="189"/>
      <c r="K168" s="189">
        <f t="shared" si="49"/>
        <v>280084</v>
      </c>
      <c r="L168" s="189">
        <v>181145</v>
      </c>
      <c r="M168" s="189">
        <f t="shared" si="73"/>
        <v>129389.28571428571</v>
      </c>
      <c r="N168" s="190">
        <v>271317</v>
      </c>
      <c r="O168" s="190">
        <v>300900</v>
      </c>
      <c r="P168" s="190">
        <f t="shared" si="69"/>
        <v>310534.28571428568</v>
      </c>
      <c r="Q168" s="190">
        <f t="shared" si="70"/>
        <v>314440.5</v>
      </c>
      <c r="R168" s="190">
        <f>189183*0.98</f>
        <v>185399.34</v>
      </c>
      <c r="S168" s="190">
        <f t="shared" si="71"/>
        <v>370798.68</v>
      </c>
      <c r="T168" s="190">
        <f t="shared" si="72"/>
        <v>370798.68</v>
      </c>
      <c r="U168" s="190">
        <v>301682</v>
      </c>
      <c r="V168" s="190">
        <f t="shared" si="48"/>
        <v>362018.4</v>
      </c>
      <c r="W168" s="190">
        <v>407000</v>
      </c>
      <c r="X168" s="190">
        <f t="shared" si="74"/>
        <v>287500</v>
      </c>
      <c r="Y168" s="190">
        <v>345000</v>
      </c>
      <c r="Z168" s="190">
        <v>364000</v>
      </c>
      <c r="AA168" s="191">
        <v>367000</v>
      </c>
      <c r="AB168" s="191">
        <v>378000</v>
      </c>
      <c r="AC168" s="196">
        <v>3</v>
      </c>
      <c r="AD168" s="88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</row>
    <row r="169" spans="1:256" ht="30" customHeight="1" x14ac:dyDescent="0.25">
      <c r="A169" s="193">
        <v>812209.11</v>
      </c>
      <c r="B169" s="232" t="s">
        <v>249</v>
      </c>
      <c r="C169" s="194">
        <v>160000</v>
      </c>
      <c r="D169" s="187"/>
      <c r="E169" s="194">
        <v>162351</v>
      </c>
      <c r="F169" s="194">
        <v>165000</v>
      </c>
      <c r="G169" s="188">
        <v>177323</v>
      </c>
      <c r="H169" s="195">
        <v>129746</v>
      </c>
      <c r="I169" s="188">
        <v>151125</v>
      </c>
      <c r="J169" s="189"/>
      <c r="K169" s="189">
        <f t="shared" si="49"/>
        <v>201500</v>
      </c>
      <c r="L169" s="189">
        <v>127714</v>
      </c>
      <c r="M169" s="189">
        <f t="shared" si="73"/>
        <v>91224.28571428571</v>
      </c>
      <c r="N169" s="190">
        <v>194999</v>
      </c>
      <c r="O169" s="190">
        <v>203300</v>
      </c>
      <c r="P169" s="190">
        <f t="shared" si="69"/>
        <v>218938.28571428571</v>
      </c>
      <c r="Q169" s="190">
        <f t="shared" si="70"/>
        <v>212448.5</v>
      </c>
      <c r="R169" s="190">
        <f>116570*0.98</f>
        <v>114238.59999999999</v>
      </c>
      <c r="S169" s="190">
        <f t="shared" si="71"/>
        <v>228477.19999999998</v>
      </c>
      <c r="T169" s="190">
        <f t="shared" si="72"/>
        <v>228477.19999999998</v>
      </c>
      <c r="U169" s="190">
        <v>194826</v>
      </c>
      <c r="V169" s="190">
        <f t="shared" si="48"/>
        <v>233791.2</v>
      </c>
      <c r="W169" s="190">
        <v>251000</v>
      </c>
      <c r="X169" s="190">
        <f t="shared" si="74"/>
        <v>199166.66666666666</v>
      </c>
      <c r="Y169" s="190">
        <v>239000</v>
      </c>
      <c r="Z169" s="190">
        <v>255000</v>
      </c>
      <c r="AA169" s="191">
        <v>225000</v>
      </c>
      <c r="AB169" s="191">
        <v>236000</v>
      </c>
      <c r="AC169" s="196">
        <v>2</v>
      </c>
      <c r="AD169" s="88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</row>
    <row r="170" spans="1:256" ht="30" customHeight="1" x14ac:dyDescent="0.25">
      <c r="A170" s="193">
        <v>812300.11</v>
      </c>
      <c r="B170" s="232" t="s">
        <v>78</v>
      </c>
      <c r="C170" s="194">
        <v>1600000</v>
      </c>
      <c r="D170" s="187"/>
      <c r="E170" s="194">
        <v>1812621</v>
      </c>
      <c r="F170" s="194">
        <v>1817250</v>
      </c>
      <c r="G170" s="188">
        <v>2093025</v>
      </c>
      <c r="H170" s="195">
        <v>1531478</v>
      </c>
      <c r="I170" s="188">
        <v>1877108</v>
      </c>
      <c r="J170" s="189"/>
      <c r="K170" s="189">
        <f t="shared" si="49"/>
        <v>2502810.6666666665</v>
      </c>
      <c r="L170" s="189">
        <v>1693982</v>
      </c>
      <c r="M170" s="189">
        <f t="shared" si="73"/>
        <v>1209987.142857143</v>
      </c>
      <c r="N170" s="190">
        <v>2410000</v>
      </c>
      <c r="O170" s="190">
        <v>2627200</v>
      </c>
      <c r="P170" s="190">
        <f t="shared" si="69"/>
        <v>2903969.1428571427</v>
      </c>
      <c r="Q170" s="190">
        <f t="shared" si="70"/>
        <v>2745424</v>
      </c>
      <c r="R170" s="190">
        <f>1685144.1*0.98</f>
        <v>1651441.2180000001</v>
      </c>
      <c r="S170" s="190">
        <f t="shared" si="71"/>
        <v>3302882.4360000002</v>
      </c>
      <c r="T170" s="190">
        <f t="shared" si="72"/>
        <v>3302882.4360000002</v>
      </c>
      <c r="U170" s="190">
        <v>2447068</v>
      </c>
      <c r="V170" s="190">
        <f t="shared" si="48"/>
        <v>2936481.6</v>
      </c>
      <c r="W170" s="190">
        <f>3350000+110000</f>
        <v>3460000</v>
      </c>
      <c r="X170" s="190">
        <f t="shared" si="74"/>
        <v>2503333.3333333335</v>
      </c>
      <c r="Y170" s="190">
        <v>3004000</v>
      </c>
      <c r="Z170" s="190">
        <v>3050000</v>
      </c>
      <c r="AA170" s="191">
        <v>3250000</v>
      </c>
      <c r="AB170" s="191">
        <v>3800000</v>
      </c>
      <c r="AC170" s="196">
        <v>28.08</v>
      </c>
      <c r="AD170" s="88" t="s">
        <v>699</v>
      </c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</row>
    <row r="171" spans="1:256" ht="30" customHeight="1" x14ac:dyDescent="0.25">
      <c r="A171" s="193">
        <v>812300.11100000003</v>
      </c>
      <c r="B171" s="232" t="s">
        <v>702</v>
      </c>
      <c r="C171" s="194"/>
      <c r="D171" s="187"/>
      <c r="E171" s="194"/>
      <c r="F171" s="194"/>
      <c r="G171" s="188"/>
      <c r="H171" s="195"/>
      <c r="I171" s="188"/>
      <c r="J171" s="189"/>
      <c r="K171" s="189"/>
      <c r="L171" s="189"/>
      <c r="M171" s="189"/>
      <c r="N171" s="190"/>
      <c r="O171" s="190"/>
      <c r="P171" s="190">
        <f t="shared" si="69"/>
        <v>0</v>
      </c>
      <c r="Q171" s="190">
        <v>229080</v>
      </c>
      <c r="R171" s="190">
        <v>0</v>
      </c>
      <c r="S171" s="190">
        <v>100000</v>
      </c>
      <c r="T171" s="190">
        <f t="shared" si="72"/>
        <v>100000</v>
      </c>
      <c r="U171" s="190">
        <v>168331</v>
      </c>
      <c r="V171" s="190">
        <f t="shared" si="48"/>
        <v>201997.2</v>
      </c>
      <c r="W171" s="190"/>
      <c r="X171" s="190"/>
      <c r="Y171" s="190"/>
      <c r="Z171" s="190"/>
      <c r="AA171" s="191">
        <v>200000</v>
      </c>
      <c r="AB171" s="191">
        <v>1600000</v>
      </c>
      <c r="AC171" s="196">
        <v>22</v>
      </c>
      <c r="AD171" s="88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</row>
    <row r="172" spans="1:256" ht="30" customHeight="1" x14ac:dyDescent="0.25">
      <c r="A172" s="214">
        <v>812300.41</v>
      </c>
      <c r="B172" s="232" t="s">
        <v>79</v>
      </c>
      <c r="C172" s="194">
        <v>150000</v>
      </c>
      <c r="D172" s="187"/>
      <c r="E172" s="194">
        <v>160153</v>
      </c>
      <c r="F172" s="194">
        <v>150000</v>
      </c>
      <c r="G172" s="188">
        <v>178000</v>
      </c>
      <c r="H172" s="195">
        <v>133479</v>
      </c>
      <c r="I172" s="188">
        <v>126332</v>
      </c>
      <c r="J172" s="189"/>
      <c r="K172" s="189">
        <f t="shared" si="49"/>
        <v>168442.66666666666</v>
      </c>
      <c r="L172" s="189">
        <v>135244</v>
      </c>
      <c r="M172" s="189">
        <f>L172/8*4</f>
        <v>67622</v>
      </c>
      <c r="N172" s="188">
        <v>170000</v>
      </c>
      <c r="O172" s="188">
        <v>170000</v>
      </c>
      <c r="P172" s="188">
        <f t="shared" ref="P172:P181" si="75">L172+M172</f>
        <v>202866</v>
      </c>
      <c r="Q172" s="188">
        <f>O172</f>
        <v>170000</v>
      </c>
      <c r="R172" s="188">
        <v>118188</v>
      </c>
      <c r="S172" s="188">
        <f t="shared" ref="S172:S181" si="76">R172*2</f>
        <v>236376</v>
      </c>
      <c r="T172" s="188">
        <v>236376</v>
      </c>
      <c r="U172" s="188">
        <v>209172</v>
      </c>
      <c r="V172" s="190">
        <f t="shared" ref="V172:V216" si="77">U172*12/10</f>
        <v>251006.4</v>
      </c>
      <c r="W172" s="188">
        <v>240000</v>
      </c>
      <c r="X172" s="188">
        <v>194990</v>
      </c>
      <c r="Y172" s="188">
        <v>240000</v>
      </c>
      <c r="Z172" s="188">
        <f t="shared" ref="Z172:Z181" si="78">Y172</f>
        <v>240000</v>
      </c>
      <c r="AA172" s="198">
        <v>233000</v>
      </c>
      <c r="AB172" s="198">
        <v>233000</v>
      </c>
      <c r="AC172" s="196"/>
      <c r="AD172" s="88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</row>
    <row r="173" spans="1:256" ht="30" customHeight="1" x14ac:dyDescent="0.25">
      <c r="A173" s="214">
        <v>812300.43099999998</v>
      </c>
      <c r="B173" s="232" t="s">
        <v>80</v>
      </c>
      <c r="C173" s="194">
        <v>1000</v>
      </c>
      <c r="D173" s="187"/>
      <c r="E173" s="194">
        <v>2250</v>
      </c>
      <c r="F173" s="194">
        <v>10000</v>
      </c>
      <c r="G173" s="188">
        <v>75000</v>
      </c>
      <c r="H173" s="195">
        <v>1500</v>
      </c>
      <c r="I173" s="188">
        <v>23774</v>
      </c>
      <c r="J173" s="189"/>
      <c r="K173" s="189">
        <f t="shared" si="49"/>
        <v>31698.666666666668</v>
      </c>
      <c r="L173" s="189">
        <v>27563</v>
      </c>
      <c r="M173" s="189">
        <f>L173/8*4</f>
        <v>13781.5</v>
      </c>
      <c r="N173" s="188">
        <v>35000</v>
      </c>
      <c r="O173" s="188">
        <v>51700</v>
      </c>
      <c r="P173" s="188">
        <f t="shared" si="75"/>
        <v>41344.5</v>
      </c>
      <c r="Q173" s="188">
        <v>50000</v>
      </c>
      <c r="R173" s="188">
        <v>53126</v>
      </c>
      <c r="S173" s="188">
        <f t="shared" si="76"/>
        <v>106252</v>
      </c>
      <c r="T173" s="188">
        <v>106252</v>
      </c>
      <c r="U173" s="188">
        <v>92071</v>
      </c>
      <c r="V173" s="190">
        <f t="shared" si="77"/>
        <v>110485.2</v>
      </c>
      <c r="W173" s="188">
        <v>110000</v>
      </c>
      <c r="X173" s="188">
        <v>60412</v>
      </c>
      <c r="Y173" s="188">
        <v>72000</v>
      </c>
      <c r="Z173" s="188">
        <f t="shared" si="78"/>
        <v>72000</v>
      </c>
      <c r="AA173" s="198">
        <v>76000</v>
      </c>
      <c r="AB173" s="198">
        <v>76000</v>
      </c>
      <c r="AC173" s="196"/>
      <c r="AD173" s="88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</row>
    <row r="174" spans="1:256" ht="30" customHeight="1" x14ac:dyDescent="0.25">
      <c r="A174" s="214">
        <v>812300.43200000003</v>
      </c>
      <c r="B174" s="232" t="s">
        <v>215</v>
      </c>
      <c r="C174" s="194">
        <v>1000</v>
      </c>
      <c r="D174" s="187"/>
      <c r="E174" s="194">
        <v>1000</v>
      </c>
      <c r="F174" s="194">
        <v>1000</v>
      </c>
      <c r="G174" s="188">
        <v>60000</v>
      </c>
      <c r="H174" s="195">
        <v>886</v>
      </c>
      <c r="I174" s="188">
        <v>15943</v>
      </c>
      <c r="J174" s="189"/>
      <c r="K174" s="189">
        <f t="shared" si="49"/>
        <v>21257.333333333332</v>
      </c>
      <c r="L174" s="189">
        <v>12300</v>
      </c>
      <c r="M174" s="189">
        <v>12300</v>
      </c>
      <c r="N174" s="188">
        <v>25000</v>
      </c>
      <c r="O174" s="188">
        <v>25000</v>
      </c>
      <c r="P174" s="188">
        <f t="shared" si="75"/>
        <v>24600</v>
      </c>
      <c r="Q174" s="188">
        <f>O174</f>
        <v>25000</v>
      </c>
      <c r="R174" s="188">
        <v>5962</v>
      </c>
      <c r="S174" s="188">
        <f t="shared" si="76"/>
        <v>11924</v>
      </c>
      <c r="T174" s="188">
        <v>15000</v>
      </c>
      <c r="U174" s="188">
        <v>15149</v>
      </c>
      <c r="V174" s="190">
        <f t="shared" si="77"/>
        <v>18178.8</v>
      </c>
      <c r="W174" s="188">
        <v>20000</v>
      </c>
      <c r="X174" s="188">
        <v>41267</v>
      </c>
      <c r="Y174" s="188">
        <v>50000</v>
      </c>
      <c r="Z174" s="188">
        <f t="shared" si="78"/>
        <v>50000</v>
      </c>
      <c r="AA174" s="198">
        <v>29000</v>
      </c>
      <c r="AB174" s="198">
        <v>29000</v>
      </c>
      <c r="AC174" s="196"/>
      <c r="AD174" s="88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</row>
    <row r="175" spans="1:256" ht="30" customHeight="1" x14ac:dyDescent="0.25">
      <c r="A175" s="214">
        <v>812300.43299999996</v>
      </c>
      <c r="B175" s="232" t="s">
        <v>81</v>
      </c>
      <c r="C175" s="194">
        <v>1000</v>
      </c>
      <c r="D175" s="187"/>
      <c r="E175" s="194">
        <v>1000</v>
      </c>
      <c r="F175" s="194">
        <v>2000</v>
      </c>
      <c r="G175" s="188">
        <v>25000</v>
      </c>
      <c r="H175" s="195">
        <v>0</v>
      </c>
      <c r="I175" s="188">
        <v>4200</v>
      </c>
      <c r="J175" s="189"/>
      <c r="K175" s="189">
        <f t="shared" si="49"/>
        <v>5600</v>
      </c>
      <c r="L175" s="189">
        <v>13800</v>
      </c>
      <c r="M175" s="189">
        <f t="shared" ref="M175:M181" si="79">L175/8*4</f>
        <v>6900</v>
      </c>
      <c r="N175" s="188">
        <v>25000</v>
      </c>
      <c r="O175" s="188">
        <v>25000</v>
      </c>
      <c r="P175" s="188">
        <f t="shared" si="75"/>
        <v>20700</v>
      </c>
      <c r="Q175" s="188">
        <f>20000+5000+9000</f>
        <v>34000</v>
      </c>
      <c r="R175" s="188">
        <v>14400</v>
      </c>
      <c r="S175" s="188">
        <f t="shared" si="76"/>
        <v>28800</v>
      </c>
      <c r="T175" s="188">
        <f>Q175</f>
        <v>34000</v>
      </c>
      <c r="U175" s="188">
        <v>15300</v>
      </c>
      <c r="V175" s="190">
        <f t="shared" si="77"/>
        <v>18360</v>
      </c>
      <c r="W175" s="188">
        <v>35000</v>
      </c>
      <c r="X175" s="188">
        <v>900</v>
      </c>
      <c r="Y175" s="188">
        <v>1000</v>
      </c>
      <c r="Z175" s="188">
        <f t="shared" si="78"/>
        <v>1000</v>
      </c>
      <c r="AA175" s="198"/>
      <c r="AB175" s="198"/>
      <c r="AC175" s="196"/>
      <c r="AD175" s="88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</row>
    <row r="176" spans="1:256" ht="30" customHeight="1" x14ac:dyDescent="0.25">
      <c r="A176" s="214">
        <v>812300.54</v>
      </c>
      <c r="B176" s="232" t="s">
        <v>82</v>
      </c>
      <c r="C176" s="194">
        <v>60000</v>
      </c>
      <c r="D176" s="187"/>
      <c r="E176" s="194">
        <v>51616</v>
      </c>
      <c r="F176" s="194">
        <v>55000</v>
      </c>
      <c r="G176" s="188">
        <v>45000</v>
      </c>
      <c r="H176" s="195">
        <v>32717</v>
      </c>
      <c r="I176" s="188">
        <v>35726</v>
      </c>
      <c r="J176" s="189"/>
      <c r="K176" s="189">
        <f t="shared" si="49"/>
        <v>47634.666666666664</v>
      </c>
      <c r="L176" s="189">
        <v>20784</v>
      </c>
      <c r="M176" s="189">
        <f t="shared" si="79"/>
        <v>10392</v>
      </c>
      <c r="N176" s="188">
        <v>48000</v>
      </c>
      <c r="O176" s="188">
        <v>35800</v>
      </c>
      <c r="P176" s="188">
        <f t="shared" si="75"/>
        <v>31176</v>
      </c>
      <c r="Q176" s="188">
        <v>20000</v>
      </c>
      <c r="R176" s="188">
        <v>6250</v>
      </c>
      <c r="S176" s="188">
        <f t="shared" si="76"/>
        <v>12500</v>
      </c>
      <c r="T176" s="188">
        <v>15000</v>
      </c>
      <c r="U176" s="188">
        <v>17912</v>
      </c>
      <c r="V176" s="190">
        <f t="shared" si="77"/>
        <v>21494.400000000001</v>
      </c>
      <c r="W176" s="188">
        <v>25000</v>
      </c>
      <c r="X176" s="188">
        <v>35104</v>
      </c>
      <c r="Y176" s="188">
        <v>25000</v>
      </c>
      <c r="Z176" s="188">
        <f t="shared" si="78"/>
        <v>25000</v>
      </c>
      <c r="AA176" s="198">
        <v>21000</v>
      </c>
      <c r="AB176" s="198">
        <v>21000</v>
      </c>
      <c r="AC176" s="196"/>
      <c r="AD176" s="88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</row>
    <row r="177" spans="1:256" ht="30" customHeight="1" x14ac:dyDescent="0.25">
      <c r="A177" s="214">
        <v>812300.56</v>
      </c>
      <c r="B177" s="232" t="s">
        <v>83</v>
      </c>
      <c r="C177" s="194">
        <v>1000</v>
      </c>
      <c r="D177" s="187"/>
      <c r="E177" s="194">
        <v>1733</v>
      </c>
      <c r="F177" s="194">
        <v>2000</v>
      </c>
      <c r="G177" s="188">
        <v>14000</v>
      </c>
      <c r="H177" s="195">
        <v>10703</v>
      </c>
      <c r="I177" s="188">
        <v>5419</v>
      </c>
      <c r="J177" s="189"/>
      <c r="K177" s="189">
        <f t="shared" si="49"/>
        <v>7225.333333333333</v>
      </c>
      <c r="L177" s="189">
        <v>4788</v>
      </c>
      <c r="M177" s="189">
        <f t="shared" si="79"/>
        <v>2394</v>
      </c>
      <c r="N177" s="188">
        <v>8000</v>
      </c>
      <c r="O177" s="188">
        <v>8000</v>
      </c>
      <c r="P177" s="188">
        <f t="shared" si="75"/>
        <v>7182</v>
      </c>
      <c r="Q177" s="188">
        <f>10000+25000</f>
        <v>35000</v>
      </c>
      <c r="R177" s="188">
        <v>4977</v>
      </c>
      <c r="S177" s="188">
        <f t="shared" si="76"/>
        <v>9954</v>
      </c>
      <c r="T177" s="188">
        <v>10000</v>
      </c>
      <c r="U177" s="188">
        <v>7288</v>
      </c>
      <c r="V177" s="190">
        <f t="shared" si="77"/>
        <v>8745.6</v>
      </c>
      <c r="W177" s="188">
        <v>15000</v>
      </c>
      <c r="X177" s="188"/>
      <c r="Y177" s="188">
        <v>15000</v>
      </c>
      <c r="Z177" s="188">
        <f t="shared" si="78"/>
        <v>15000</v>
      </c>
      <c r="AA177" s="198">
        <v>48000</v>
      </c>
      <c r="AB177" s="198">
        <v>48000</v>
      </c>
      <c r="AC177" s="196"/>
      <c r="AD177" s="88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</row>
    <row r="178" spans="1:256" ht="30" customHeight="1" x14ac:dyDescent="0.25">
      <c r="A178" s="214">
        <v>812300.72</v>
      </c>
      <c r="B178" s="232" t="s">
        <v>84</v>
      </c>
      <c r="C178" s="194">
        <v>150000</v>
      </c>
      <c r="D178" s="187"/>
      <c r="E178" s="194">
        <v>33570</v>
      </c>
      <c r="F178" s="194">
        <v>100000</v>
      </c>
      <c r="G178" s="189">
        <f>35000-5000</f>
        <v>30000</v>
      </c>
      <c r="H178" s="195">
        <v>19787</v>
      </c>
      <c r="I178" s="188">
        <v>19292</v>
      </c>
      <c r="J178" s="189"/>
      <c r="K178" s="189">
        <f t="shared" si="49"/>
        <v>25722.666666666668</v>
      </c>
      <c r="L178" s="189">
        <v>25611</v>
      </c>
      <c r="M178" s="189">
        <f t="shared" si="79"/>
        <v>12805.5</v>
      </c>
      <c r="N178" s="189">
        <v>26000</v>
      </c>
      <c r="O178" s="188">
        <v>26000</v>
      </c>
      <c r="P178" s="188">
        <f t="shared" si="75"/>
        <v>38416.5</v>
      </c>
      <c r="Q178" s="188">
        <f>O178</f>
        <v>26000</v>
      </c>
      <c r="R178" s="188">
        <v>1200</v>
      </c>
      <c r="S178" s="188">
        <f t="shared" si="76"/>
        <v>2400</v>
      </c>
      <c r="T178" s="188">
        <v>8000</v>
      </c>
      <c r="U178" s="188">
        <v>7678</v>
      </c>
      <c r="V178" s="190">
        <f t="shared" si="77"/>
        <v>9213.6</v>
      </c>
      <c r="W178" s="188">
        <v>20000</v>
      </c>
      <c r="X178" s="188">
        <v>32720</v>
      </c>
      <c r="Y178" s="188">
        <v>33000</v>
      </c>
      <c r="Z178" s="188">
        <f t="shared" si="78"/>
        <v>33000</v>
      </c>
      <c r="AA178" s="198">
        <v>9000</v>
      </c>
      <c r="AB178" s="198">
        <v>9000</v>
      </c>
      <c r="AC178" s="196"/>
      <c r="AD178" s="88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</row>
    <row r="179" spans="1:256" ht="30" customHeight="1" x14ac:dyDescent="0.25">
      <c r="A179" s="214">
        <v>812300.74</v>
      </c>
      <c r="B179" s="232" t="s">
        <v>85</v>
      </c>
      <c r="C179" s="194">
        <v>1000</v>
      </c>
      <c r="D179" s="187"/>
      <c r="E179" s="194">
        <v>36000</v>
      </c>
      <c r="F179" s="194">
        <v>25000</v>
      </c>
      <c r="G179" s="189">
        <v>25000</v>
      </c>
      <c r="H179" s="195">
        <v>10000</v>
      </c>
      <c r="I179" s="188">
        <v>40780</v>
      </c>
      <c r="J179" s="189"/>
      <c r="K179" s="189">
        <f t="shared" si="49"/>
        <v>54373.333333333336</v>
      </c>
      <c r="L179" s="189">
        <v>51084</v>
      </c>
      <c r="M179" s="189">
        <f t="shared" si="79"/>
        <v>25542</v>
      </c>
      <c r="N179" s="189">
        <v>54000</v>
      </c>
      <c r="O179" s="188">
        <v>54000</v>
      </c>
      <c r="P179" s="188">
        <f t="shared" si="75"/>
        <v>76626</v>
      </c>
      <c r="Q179" s="188">
        <f>O179</f>
        <v>54000</v>
      </c>
      <c r="R179" s="188">
        <v>18700</v>
      </c>
      <c r="S179" s="188">
        <f t="shared" si="76"/>
        <v>37400</v>
      </c>
      <c r="T179" s="188">
        <v>40000</v>
      </c>
      <c r="U179" s="188">
        <v>39419</v>
      </c>
      <c r="V179" s="190">
        <f t="shared" si="77"/>
        <v>47302.8</v>
      </c>
      <c r="W179" s="188">
        <v>30000</v>
      </c>
      <c r="X179" s="188">
        <v>28417</v>
      </c>
      <c r="Y179" s="188">
        <v>30000</v>
      </c>
      <c r="Z179" s="188">
        <f t="shared" si="78"/>
        <v>30000</v>
      </c>
      <c r="AA179" s="198">
        <v>22000</v>
      </c>
      <c r="AB179" s="198">
        <v>22000</v>
      </c>
      <c r="AC179" s="196"/>
      <c r="AD179" s="88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</row>
    <row r="180" spans="1:256" ht="30" customHeight="1" x14ac:dyDescent="0.25">
      <c r="A180" s="214">
        <v>812300.75</v>
      </c>
      <c r="B180" s="232" t="s">
        <v>422</v>
      </c>
      <c r="C180" s="194">
        <v>2000000</v>
      </c>
      <c r="D180" s="187"/>
      <c r="E180" s="194">
        <v>3014352</v>
      </c>
      <c r="F180" s="194">
        <v>2365000</v>
      </c>
      <c r="G180" s="189">
        <v>2810000</v>
      </c>
      <c r="H180" s="195">
        <f>1565501+541000</f>
        <v>2106501</v>
      </c>
      <c r="I180" s="188">
        <v>1998607</v>
      </c>
      <c r="J180" s="189"/>
      <c r="K180" s="189">
        <f t="shared" si="49"/>
        <v>2664809.3333333335</v>
      </c>
      <c r="L180" s="189">
        <v>1835753</v>
      </c>
      <c r="M180" s="189">
        <f t="shared" si="79"/>
        <v>917876.5</v>
      </c>
      <c r="N180" s="189">
        <v>2700000</v>
      </c>
      <c r="O180" s="188">
        <v>3084000</v>
      </c>
      <c r="P180" s="188">
        <f t="shared" si="75"/>
        <v>2753629.5</v>
      </c>
      <c r="Q180" s="188">
        <v>3715026</v>
      </c>
      <c r="R180" s="188">
        <v>2048923</v>
      </c>
      <c r="S180" s="188">
        <f>R180*2*11/12-56000</f>
        <v>3700358.8333333335</v>
      </c>
      <c r="T180" s="188">
        <f>S180</f>
        <v>3700358.8333333335</v>
      </c>
      <c r="U180" s="188">
        <v>2758829</v>
      </c>
      <c r="V180" s="190">
        <f t="shared" si="77"/>
        <v>3310594.8</v>
      </c>
      <c r="W180" s="188">
        <v>3810000</v>
      </c>
      <c r="X180" s="188">
        <f>2347047+321171+7868</f>
        <v>2676086</v>
      </c>
      <c r="Y180" s="188">
        <v>3350000</v>
      </c>
      <c r="Z180" s="188">
        <f t="shared" si="78"/>
        <v>3350000</v>
      </c>
      <c r="AA180" s="198">
        <v>3260000</v>
      </c>
      <c r="AB180" s="198">
        <v>3260000</v>
      </c>
      <c r="AC180" s="196"/>
      <c r="AD180" s="88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</row>
    <row r="181" spans="1:256" ht="30" customHeight="1" x14ac:dyDescent="0.25">
      <c r="A181" s="214">
        <v>812300.78</v>
      </c>
      <c r="B181" s="232" t="s">
        <v>86</v>
      </c>
      <c r="C181" s="202">
        <v>150000</v>
      </c>
      <c r="D181" s="187"/>
      <c r="E181" s="202">
        <v>132072</v>
      </c>
      <c r="F181" s="202">
        <v>120000</v>
      </c>
      <c r="G181" s="189">
        <v>15000</v>
      </c>
      <c r="H181" s="204">
        <v>125402</v>
      </c>
      <c r="I181" s="188">
        <v>8653</v>
      </c>
      <c r="J181" s="189"/>
      <c r="K181" s="189">
        <f t="shared" si="49"/>
        <v>11537.333333333334</v>
      </c>
      <c r="L181" s="189">
        <v>16498</v>
      </c>
      <c r="M181" s="189">
        <f t="shared" si="79"/>
        <v>8249</v>
      </c>
      <c r="N181" s="189">
        <v>15000</v>
      </c>
      <c r="O181" s="188">
        <v>17600</v>
      </c>
      <c r="P181" s="188">
        <f t="shared" si="75"/>
        <v>24747</v>
      </c>
      <c r="Q181" s="188">
        <f>O181</f>
        <v>17600</v>
      </c>
      <c r="R181" s="188">
        <v>8205.7000000000007</v>
      </c>
      <c r="S181" s="188">
        <f t="shared" si="76"/>
        <v>16411.400000000001</v>
      </c>
      <c r="T181" s="188">
        <f>Q181</f>
        <v>17600</v>
      </c>
      <c r="U181" s="188">
        <v>23310</v>
      </c>
      <c r="V181" s="190">
        <f t="shared" si="77"/>
        <v>27972</v>
      </c>
      <c r="W181" s="188">
        <v>20000</v>
      </c>
      <c r="X181" s="188">
        <v>42124</v>
      </c>
      <c r="Y181" s="188">
        <v>50500</v>
      </c>
      <c r="Z181" s="188">
        <f t="shared" si="78"/>
        <v>50500</v>
      </c>
      <c r="AA181" s="198">
        <v>90000</v>
      </c>
      <c r="AB181" s="198">
        <v>90000</v>
      </c>
      <c r="AC181" s="196"/>
      <c r="AD181" s="88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</row>
    <row r="182" spans="1:256" ht="30" customHeight="1" x14ac:dyDescent="0.25">
      <c r="A182" s="193">
        <v>812301.11</v>
      </c>
      <c r="B182" s="233" t="s">
        <v>645</v>
      </c>
      <c r="C182" s="202"/>
      <c r="D182" s="203"/>
      <c r="E182" s="202"/>
      <c r="F182" s="202"/>
      <c r="G182" s="189"/>
      <c r="H182" s="204"/>
      <c r="I182" s="189"/>
      <c r="J182" s="189"/>
      <c r="K182" s="189"/>
      <c r="L182" s="189"/>
      <c r="M182" s="189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>
        <v>8148</v>
      </c>
      <c r="Y182" s="190">
        <v>10000</v>
      </c>
      <c r="Z182" s="190">
        <v>26000</v>
      </c>
      <c r="AA182" s="191">
        <v>26000</v>
      </c>
      <c r="AB182" s="191">
        <v>97000</v>
      </c>
      <c r="AC182" s="196">
        <v>1.08</v>
      </c>
      <c r="AD182" s="88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</row>
    <row r="183" spans="1:256" ht="30" customHeight="1" x14ac:dyDescent="0.25">
      <c r="A183" s="193">
        <v>812500.11</v>
      </c>
      <c r="B183" s="233" t="s">
        <v>375</v>
      </c>
      <c r="C183" s="202">
        <v>850000</v>
      </c>
      <c r="D183" s="203"/>
      <c r="E183" s="202">
        <v>850560</v>
      </c>
      <c r="F183" s="202">
        <v>859000</v>
      </c>
      <c r="G183" s="189">
        <v>923530</v>
      </c>
      <c r="H183" s="204">
        <v>675756</v>
      </c>
      <c r="I183" s="189">
        <v>742815</v>
      </c>
      <c r="J183" s="189"/>
      <c r="K183" s="189">
        <f t="shared" si="49"/>
        <v>990420</v>
      </c>
      <c r="L183" s="189">
        <v>660347</v>
      </c>
      <c r="M183" s="189">
        <f>L183/7*5</f>
        <v>471676.42857142852</v>
      </c>
      <c r="N183" s="190">
        <v>990420</v>
      </c>
      <c r="O183" s="190">
        <v>1028300</v>
      </c>
      <c r="P183" s="190">
        <f>M183+L183</f>
        <v>1132023.4285714286</v>
      </c>
      <c r="Q183" s="190">
        <f>O183*1.045+100000+3792+1198</f>
        <v>1179563.5</v>
      </c>
      <c r="R183" s="190">
        <f>511760*0.98</f>
        <v>501524.8</v>
      </c>
      <c r="S183" s="190">
        <f>R183*2</f>
        <v>1003049.6</v>
      </c>
      <c r="T183" s="190">
        <f>S183</f>
        <v>1003049.6</v>
      </c>
      <c r="U183" s="190">
        <v>824979</v>
      </c>
      <c r="V183" s="190">
        <f t="shared" si="77"/>
        <v>989974.8</v>
      </c>
      <c r="W183" s="190">
        <v>985000</v>
      </c>
      <c r="X183" s="190">
        <f>Y183*10/12</f>
        <v>941666.66666666663</v>
      </c>
      <c r="Y183" s="190">
        <v>1130000</v>
      </c>
      <c r="Z183" s="190">
        <v>1140000</v>
      </c>
      <c r="AA183" s="191">
        <v>1100000</v>
      </c>
      <c r="AB183" s="191">
        <v>982000</v>
      </c>
      <c r="AC183" s="196">
        <v>7.5</v>
      </c>
      <c r="AD183" s="88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</row>
    <row r="184" spans="1:256" ht="30" customHeight="1" x14ac:dyDescent="0.25">
      <c r="A184" s="197">
        <v>812500.43099999998</v>
      </c>
      <c r="B184" s="233" t="s">
        <v>507</v>
      </c>
      <c r="C184" s="202">
        <v>35000</v>
      </c>
      <c r="D184" s="203"/>
      <c r="E184" s="202">
        <v>40431</v>
      </c>
      <c r="F184" s="202">
        <v>40000</v>
      </c>
      <c r="G184" s="189">
        <v>48000</v>
      </c>
      <c r="H184" s="204">
        <v>35792</v>
      </c>
      <c r="I184" s="189">
        <v>24827</v>
      </c>
      <c r="J184" s="189"/>
      <c r="K184" s="189">
        <f t="shared" si="49"/>
        <v>33102.666666666664</v>
      </c>
      <c r="L184" s="189">
        <v>22003</v>
      </c>
      <c r="M184" s="189">
        <f t="shared" ref="M184:M189" si="80">L184/8*4</f>
        <v>11001.5</v>
      </c>
      <c r="N184" s="189">
        <v>35000</v>
      </c>
      <c r="O184" s="188">
        <v>51200</v>
      </c>
      <c r="P184" s="188">
        <f t="shared" ref="P184:P189" si="81">L184+M184</f>
        <v>33004.5</v>
      </c>
      <c r="Q184" s="188">
        <f t="shared" ref="Q184:Q189" si="82">O184</f>
        <v>51200</v>
      </c>
      <c r="R184" s="188">
        <v>19710</v>
      </c>
      <c r="S184" s="188">
        <f t="shared" ref="S184:S189" si="83">R184*2</f>
        <v>39420</v>
      </c>
      <c r="T184" s="188">
        <v>40000</v>
      </c>
      <c r="U184" s="188">
        <v>42985</v>
      </c>
      <c r="V184" s="190">
        <f t="shared" si="77"/>
        <v>51582</v>
      </c>
      <c r="W184" s="188">
        <v>57000</v>
      </c>
      <c r="X184" s="188">
        <v>29308</v>
      </c>
      <c r="Y184" s="188">
        <v>35000</v>
      </c>
      <c r="Z184" s="188">
        <f t="shared" ref="Z184:Z191" si="84">Y184</f>
        <v>35000</v>
      </c>
      <c r="AA184" s="198">
        <v>23000</v>
      </c>
      <c r="AB184" s="198">
        <v>23000</v>
      </c>
      <c r="AC184" s="196"/>
      <c r="AD184" s="88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</row>
    <row r="185" spans="1:256" ht="30" customHeight="1" x14ac:dyDescent="0.25">
      <c r="A185" s="197">
        <v>812500.43200000003</v>
      </c>
      <c r="B185" s="233" t="s">
        <v>508</v>
      </c>
      <c r="C185" s="202">
        <v>0</v>
      </c>
      <c r="D185" s="203"/>
      <c r="E185" s="202">
        <v>0</v>
      </c>
      <c r="F185" s="202">
        <v>12000</v>
      </c>
      <c r="G185" s="189">
        <v>6000</v>
      </c>
      <c r="H185" s="204">
        <v>221</v>
      </c>
      <c r="I185" s="189">
        <v>1647</v>
      </c>
      <c r="J185" s="189"/>
      <c r="K185" s="189">
        <f>I185*4/3</f>
        <v>2196</v>
      </c>
      <c r="L185" s="189">
        <v>0</v>
      </c>
      <c r="M185" s="189">
        <f t="shared" si="80"/>
        <v>0</v>
      </c>
      <c r="N185" s="189">
        <v>2500</v>
      </c>
      <c r="O185" s="188">
        <v>2500</v>
      </c>
      <c r="P185" s="188">
        <f t="shared" si="81"/>
        <v>0</v>
      </c>
      <c r="Q185" s="188">
        <f t="shared" si="82"/>
        <v>2500</v>
      </c>
      <c r="R185" s="188">
        <v>718</v>
      </c>
      <c r="S185" s="188">
        <f t="shared" si="83"/>
        <v>1436</v>
      </c>
      <c r="T185" s="188">
        <f>Q185</f>
        <v>2500</v>
      </c>
      <c r="U185" s="188">
        <v>1352</v>
      </c>
      <c r="V185" s="190">
        <f t="shared" si="77"/>
        <v>1622.4</v>
      </c>
      <c r="W185" s="188">
        <v>3000</v>
      </c>
      <c r="X185" s="188">
        <v>1231</v>
      </c>
      <c r="Y185" s="188">
        <v>1500</v>
      </c>
      <c r="Z185" s="188">
        <f t="shared" si="84"/>
        <v>1500</v>
      </c>
      <c r="AA185" s="198">
        <v>1500</v>
      </c>
      <c r="AB185" s="198">
        <v>1500</v>
      </c>
      <c r="AC185" s="196"/>
      <c r="AD185" s="88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</row>
    <row r="186" spans="1:256" ht="30" customHeight="1" x14ac:dyDescent="0.25">
      <c r="A186" s="214">
        <v>812500.54</v>
      </c>
      <c r="B186" s="232" t="s">
        <v>509</v>
      </c>
      <c r="C186" s="194">
        <v>1000</v>
      </c>
      <c r="D186" s="187"/>
      <c r="E186" s="202">
        <v>3343</v>
      </c>
      <c r="F186" s="194">
        <v>3000</v>
      </c>
      <c r="G186" s="189">
        <v>6000</v>
      </c>
      <c r="H186" s="195">
        <v>1142</v>
      </c>
      <c r="I186" s="188">
        <v>3492</v>
      </c>
      <c r="J186" s="189"/>
      <c r="K186" s="189">
        <f>I186*4/3</f>
        <v>4656</v>
      </c>
      <c r="L186" s="189">
        <v>3705</v>
      </c>
      <c r="M186" s="189">
        <f t="shared" si="80"/>
        <v>1852.5</v>
      </c>
      <c r="N186" s="189">
        <v>6000</v>
      </c>
      <c r="O186" s="188">
        <v>7500</v>
      </c>
      <c r="P186" s="188">
        <f t="shared" si="81"/>
        <v>5557.5</v>
      </c>
      <c r="Q186" s="188">
        <f t="shared" si="82"/>
        <v>7500</v>
      </c>
      <c r="R186" s="188">
        <v>3979</v>
      </c>
      <c r="S186" s="188">
        <f t="shared" si="83"/>
        <v>7958</v>
      </c>
      <c r="T186" s="188">
        <v>7958</v>
      </c>
      <c r="U186" s="188">
        <v>7486</v>
      </c>
      <c r="V186" s="190">
        <f t="shared" si="77"/>
        <v>8983.2000000000007</v>
      </c>
      <c r="W186" s="188">
        <v>8500</v>
      </c>
      <c r="X186" s="188">
        <v>8384</v>
      </c>
      <c r="Y186" s="188">
        <v>10000</v>
      </c>
      <c r="Z186" s="188">
        <f t="shared" si="84"/>
        <v>10000</v>
      </c>
      <c r="AA186" s="198">
        <v>6000</v>
      </c>
      <c r="AB186" s="198">
        <v>6000</v>
      </c>
      <c r="AC186" s="196"/>
      <c r="AD186" s="88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</row>
    <row r="187" spans="1:256" ht="30" customHeight="1" x14ac:dyDescent="0.25">
      <c r="A187" s="214">
        <v>812500.56</v>
      </c>
      <c r="B187" s="232" t="s">
        <v>510</v>
      </c>
      <c r="C187" s="194">
        <v>2000</v>
      </c>
      <c r="D187" s="187"/>
      <c r="E187" s="202">
        <v>1000</v>
      </c>
      <c r="F187" s="194">
        <v>2000</v>
      </c>
      <c r="G187" s="189">
        <v>7000</v>
      </c>
      <c r="H187" s="195">
        <v>5161</v>
      </c>
      <c r="I187" s="188">
        <v>3057</v>
      </c>
      <c r="J187" s="189"/>
      <c r="K187" s="189">
        <f>I187*4/3</f>
        <v>4076</v>
      </c>
      <c r="L187" s="189">
        <v>1184</v>
      </c>
      <c r="M187" s="189">
        <f t="shared" si="80"/>
        <v>592</v>
      </c>
      <c r="N187" s="189">
        <v>5000</v>
      </c>
      <c r="O187" s="188">
        <v>3200</v>
      </c>
      <c r="P187" s="188">
        <f t="shared" si="81"/>
        <v>1776</v>
      </c>
      <c r="Q187" s="188">
        <f t="shared" si="82"/>
        <v>3200</v>
      </c>
      <c r="R187" s="188">
        <v>423</v>
      </c>
      <c r="S187" s="188">
        <f t="shared" si="83"/>
        <v>846</v>
      </c>
      <c r="T187" s="188">
        <f>Q187</f>
        <v>3200</v>
      </c>
      <c r="U187" s="188">
        <v>933</v>
      </c>
      <c r="V187" s="190">
        <f t="shared" si="77"/>
        <v>1119.5999999999999</v>
      </c>
      <c r="W187" s="188">
        <v>3500</v>
      </c>
      <c r="X187" s="188">
        <v>1000</v>
      </c>
      <c r="Y187" s="188">
        <v>1000</v>
      </c>
      <c r="Z187" s="188">
        <f t="shared" si="84"/>
        <v>1000</v>
      </c>
      <c r="AA187" s="198">
        <v>2000</v>
      </c>
      <c r="AB187" s="198">
        <v>2000</v>
      </c>
      <c r="AC187" s="196"/>
      <c r="AD187" s="88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</row>
    <row r="188" spans="1:256" ht="30" customHeight="1" x14ac:dyDescent="0.25">
      <c r="A188" s="214">
        <v>812500.72</v>
      </c>
      <c r="B188" s="232" t="s">
        <v>511</v>
      </c>
      <c r="C188" s="194">
        <v>70000</v>
      </c>
      <c r="D188" s="187"/>
      <c r="E188" s="202">
        <v>60347</v>
      </c>
      <c r="F188" s="194">
        <v>42000</v>
      </c>
      <c r="G188" s="189">
        <v>100000</v>
      </c>
      <c r="H188" s="195">
        <v>38209</v>
      </c>
      <c r="I188" s="188">
        <v>64309</v>
      </c>
      <c r="J188" s="189"/>
      <c r="K188" s="189">
        <f>I188*4/3</f>
        <v>85745.333333333328</v>
      </c>
      <c r="L188" s="189">
        <v>73478</v>
      </c>
      <c r="M188" s="189">
        <f t="shared" si="80"/>
        <v>36739</v>
      </c>
      <c r="N188" s="189">
        <v>100000</v>
      </c>
      <c r="O188" s="188">
        <v>87700</v>
      </c>
      <c r="P188" s="188">
        <f t="shared" si="81"/>
        <v>110217</v>
      </c>
      <c r="Q188" s="188">
        <v>155000</v>
      </c>
      <c r="R188" s="188">
        <v>42326</v>
      </c>
      <c r="S188" s="188">
        <f t="shared" si="83"/>
        <v>84652</v>
      </c>
      <c r="T188" s="188">
        <v>85000</v>
      </c>
      <c r="U188" s="188">
        <v>76397</v>
      </c>
      <c r="V188" s="190">
        <f t="shared" si="77"/>
        <v>91676.4</v>
      </c>
      <c r="W188" s="188">
        <v>85000</v>
      </c>
      <c r="X188" s="188">
        <v>35636</v>
      </c>
      <c r="Y188" s="188">
        <v>70000</v>
      </c>
      <c r="Z188" s="189">
        <v>100000</v>
      </c>
      <c r="AA188" s="205">
        <v>71000</v>
      </c>
      <c r="AB188" s="205">
        <v>71000</v>
      </c>
      <c r="AC188" s="196"/>
      <c r="AD188" s="88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</row>
    <row r="189" spans="1:256" ht="30" customHeight="1" x14ac:dyDescent="0.25">
      <c r="A189" s="214">
        <v>812500.78</v>
      </c>
      <c r="B189" s="232" t="s">
        <v>512</v>
      </c>
      <c r="C189" s="194">
        <v>60000</v>
      </c>
      <c r="D189" s="187"/>
      <c r="E189" s="202">
        <v>56175</v>
      </c>
      <c r="F189" s="194">
        <v>60000</v>
      </c>
      <c r="G189" s="188">
        <v>20000</v>
      </c>
      <c r="H189" s="195">
        <v>60515</v>
      </c>
      <c r="I189" s="188">
        <v>21367</v>
      </c>
      <c r="J189" s="189"/>
      <c r="K189" s="189">
        <f>I189*4/3</f>
        <v>28489.333333333332</v>
      </c>
      <c r="L189" s="189">
        <v>26519</v>
      </c>
      <c r="M189" s="189">
        <f t="shared" si="80"/>
        <v>13259.5</v>
      </c>
      <c r="N189" s="188">
        <v>30000</v>
      </c>
      <c r="O189" s="188">
        <v>30000</v>
      </c>
      <c r="P189" s="188">
        <f t="shared" si="81"/>
        <v>39778.5</v>
      </c>
      <c r="Q189" s="188">
        <f t="shared" si="82"/>
        <v>30000</v>
      </c>
      <c r="R189" s="188">
        <v>6780</v>
      </c>
      <c r="S189" s="188">
        <f t="shared" si="83"/>
        <v>13560</v>
      </c>
      <c r="T189" s="188">
        <v>15000</v>
      </c>
      <c r="U189" s="188">
        <v>11481</v>
      </c>
      <c r="V189" s="190">
        <f t="shared" si="77"/>
        <v>13777.2</v>
      </c>
      <c r="W189" s="188">
        <v>15000</v>
      </c>
      <c r="X189" s="188">
        <v>26318</v>
      </c>
      <c r="Y189" s="188">
        <v>30000</v>
      </c>
      <c r="Z189" s="189">
        <f>30000+50000</f>
        <v>80000</v>
      </c>
      <c r="AA189" s="205">
        <v>32000</v>
      </c>
      <c r="AB189" s="205">
        <v>32000</v>
      </c>
      <c r="AC189" s="196"/>
      <c r="AD189" s="88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</row>
    <row r="190" spans="1:256" ht="30" customHeight="1" x14ac:dyDescent="0.25">
      <c r="A190" s="214">
        <v>812700.84</v>
      </c>
      <c r="B190" s="232" t="s">
        <v>514</v>
      </c>
      <c r="C190" s="194"/>
      <c r="D190" s="187"/>
      <c r="E190" s="202"/>
      <c r="F190" s="194"/>
      <c r="G190" s="188"/>
      <c r="H190" s="195"/>
      <c r="I190" s="188"/>
      <c r="J190" s="189"/>
      <c r="K190" s="189"/>
      <c r="L190" s="189"/>
      <c r="M190" s="189"/>
      <c r="N190" s="188"/>
      <c r="O190" s="188"/>
      <c r="P190" s="188">
        <f>L190+M190</f>
        <v>0</v>
      </c>
      <c r="Q190" s="188">
        <v>30000</v>
      </c>
      <c r="R190" s="188">
        <v>15000</v>
      </c>
      <c r="S190" s="188">
        <f t="shared" ref="S190:S191" si="85">R190*2</f>
        <v>30000</v>
      </c>
      <c r="T190" s="188">
        <f>Q190</f>
        <v>30000</v>
      </c>
      <c r="U190" s="188">
        <v>36500</v>
      </c>
      <c r="V190" s="190">
        <f t="shared" si="77"/>
        <v>43800</v>
      </c>
      <c r="W190" s="188">
        <v>100000</v>
      </c>
      <c r="X190" s="188">
        <v>69493</v>
      </c>
      <c r="Y190" s="188">
        <v>100000</v>
      </c>
      <c r="Z190" s="188">
        <f t="shared" si="84"/>
        <v>100000</v>
      </c>
      <c r="AA190" s="198">
        <v>30000</v>
      </c>
      <c r="AB190" s="198">
        <v>30000</v>
      </c>
      <c r="AC190" s="196"/>
      <c r="AD190" s="88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</row>
    <row r="191" spans="1:256" ht="30" customHeight="1" x14ac:dyDescent="0.25">
      <c r="A191" s="214">
        <v>812700.95</v>
      </c>
      <c r="B191" s="232" t="s">
        <v>513</v>
      </c>
      <c r="C191" s="194"/>
      <c r="D191" s="187"/>
      <c r="E191" s="202"/>
      <c r="F191" s="194"/>
      <c r="G191" s="188"/>
      <c r="H191" s="195"/>
      <c r="I191" s="188"/>
      <c r="J191" s="189"/>
      <c r="K191" s="189"/>
      <c r="L191" s="189"/>
      <c r="M191" s="189"/>
      <c r="N191" s="188"/>
      <c r="O191" s="188"/>
      <c r="P191" s="188">
        <f>L191+M191</f>
        <v>0</v>
      </c>
      <c r="Q191" s="188">
        <v>60000</v>
      </c>
      <c r="R191" s="188">
        <v>30000</v>
      </c>
      <c r="S191" s="188">
        <f t="shared" si="85"/>
        <v>60000</v>
      </c>
      <c r="T191" s="188">
        <f>Q191</f>
        <v>60000</v>
      </c>
      <c r="U191" s="188">
        <v>51987</v>
      </c>
      <c r="V191" s="190">
        <f t="shared" si="77"/>
        <v>62384.4</v>
      </c>
      <c r="W191" s="188">
        <v>64000</v>
      </c>
      <c r="X191" s="188">
        <v>64000</v>
      </c>
      <c r="Y191" s="188">
        <v>64000</v>
      </c>
      <c r="Z191" s="188">
        <f t="shared" si="84"/>
        <v>64000</v>
      </c>
      <c r="AA191" s="198">
        <v>13000</v>
      </c>
      <c r="AB191" s="198">
        <v>13000</v>
      </c>
      <c r="AC191" s="196"/>
      <c r="AD191" s="88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</row>
    <row r="192" spans="1:256" ht="30" customHeight="1" x14ac:dyDescent="0.25">
      <c r="A192" s="222"/>
      <c r="B192" s="275" t="s">
        <v>97</v>
      </c>
      <c r="C192" s="211">
        <f t="shared" ref="C192:M192" si="86">SUM(C154:C189)</f>
        <v>7192000</v>
      </c>
      <c r="D192" s="211">
        <f t="shared" si="86"/>
        <v>0</v>
      </c>
      <c r="E192" s="211">
        <f t="shared" si="86"/>
        <v>8228754</v>
      </c>
      <c r="F192" s="211">
        <f t="shared" si="86"/>
        <v>7680250</v>
      </c>
      <c r="G192" s="212">
        <f t="shared" si="86"/>
        <v>8790022</v>
      </c>
      <c r="H192" s="212">
        <f t="shared" si="86"/>
        <v>6481924</v>
      </c>
      <c r="I192" s="212">
        <f t="shared" si="86"/>
        <v>6663837</v>
      </c>
      <c r="J192" s="213">
        <f t="shared" si="86"/>
        <v>0</v>
      </c>
      <c r="K192" s="213">
        <f t="shared" si="86"/>
        <v>8885116.0000000019</v>
      </c>
      <c r="L192" s="213">
        <f t="shared" si="86"/>
        <v>6020478</v>
      </c>
      <c r="M192" s="213">
        <f t="shared" si="86"/>
        <v>3791955.2142857141</v>
      </c>
      <c r="N192" s="212">
        <f t="shared" ref="N192:AC192" si="87">SUM(N154:N191)</f>
        <v>8920398</v>
      </c>
      <c r="O192" s="212">
        <f t="shared" si="87"/>
        <v>9602700</v>
      </c>
      <c r="P192" s="212">
        <f t="shared" si="87"/>
        <v>9812433.2142857146</v>
      </c>
      <c r="Q192" s="212">
        <f t="shared" si="87"/>
        <v>11115243.5</v>
      </c>
      <c r="R192" s="212">
        <f t="shared" si="87"/>
        <v>5855765.7472000001</v>
      </c>
      <c r="S192" s="212">
        <f t="shared" si="87"/>
        <v>11386214.327733334</v>
      </c>
      <c r="T192" s="212">
        <f t="shared" si="87"/>
        <v>11452550.927733334</v>
      </c>
      <c r="U192" s="212">
        <f t="shared" si="87"/>
        <v>8993003</v>
      </c>
      <c r="V192" s="212">
        <f t="shared" si="87"/>
        <v>10791603.600000001</v>
      </c>
      <c r="W192" s="212">
        <f t="shared" si="87"/>
        <v>11893408</v>
      </c>
      <c r="X192" s="212">
        <f t="shared" si="87"/>
        <v>9169544.333333334</v>
      </c>
      <c r="Y192" s="212">
        <f t="shared" si="87"/>
        <v>11152800</v>
      </c>
      <c r="Z192" s="212">
        <f t="shared" si="87"/>
        <v>11492300</v>
      </c>
      <c r="AA192" s="211">
        <f t="shared" si="87"/>
        <v>11411500</v>
      </c>
      <c r="AB192" s="211">
        <f t="shared" si="87"/>
        <v>13292500</v>
      </c>
      <c r="AC192" s="212">
        <f t="shared" si="87"/>
        <v>81.66</v>
      </c>
      <c r="AD192" s="88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</row>
    <row r="193" spans="1:256" ht="30" customHeight="1" x14ac:dyDescent="0.25">
      <c r="A193" s="193">
        <v>813200.11</v>
      </c>
      <c r="B193" s="232" t="s">
        <v>87</v>
      </c>
      <c r="C193" s="194">
        <v>6000</v>
      </c>
      <c r="D193" s="187"/>
      <c r="E193" s="202">
        <v>5195</v>
      </c>
      <c r="F193" s="194">
        <v>7000</v>
      </c>
      <c r="G193" s="188">
        <v>170000</v>
      </c>
      <c r="H193" s="195">
        <v>0</v>
      </c>
      <c r="I193" s="188">
        <v>42318</v>
      </c>
      <c r="J193" s="189"/>
      <c r="K193" s="189">
        <f>I193*4/3</f>
        <v>56424</v>
      </c>
      <c r="L193" s="189">
        <v>154423</v>
      </c>
      <c r="M193" s="189">
        <f>L193/7*5</f>
        <v>110302.14285714287</v>
      </c>
      <c r="N193" s="190">
        <v>68040</v>
      </c>
      <c r="O193" s="190">
        <v>242800</v>
      </c>
      <c r="P193" s="190">
        <f>M193+L193</f>
        <v>264725.14285714284</v>
      </c>
      <c r="Q193" s="190">
        <f>O193*1.045</f>
        <v>253725.99999999997</v>
      </c>
      <c r="R193" s="190">
        <f>0.98*98774.91</f>
        <v>96799.411800000002</v>
      </c>
      <c r="S193" s="190">
        <f>R193*2</f>
        <v>193598.8236</v>
      </c>
      <c r="T193" s="190">
        <f>S193</f>
        <v>193598.8236</v>
      </c>
      <c r="U193" s="190">
        <v>159479</v>
      </c>
      <c r="V193" s="190">
        <f t="shared" si="77"/>
        <v>191374.8</v>
      </c>
      <c r="W193" s="190">
        <v>190000</v>
      </c>
      <c r="X193" s="190">
        <v>141243</v>
      </c>
      <c r="Y193" s="190">
        <v>167000</v>
      </c>
      <c r="Z193" s="190">
        <v>169000</v>
      </c>
      <c r="AA193" s="191">
        <v>125000</v>
      </c>
      <c r="AB193" s="191">
        <v>125000</v>
      </c>
      <c r="AC193" s="196">
        <v>1.8</v>
      </c>
      <c r="AD193" s="88" t="s">
        <v>697</v>
      </c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</row>
    <row r="194" spans="1:256" ht="30" customHeight="1" x14ac:dyDescent="0.25">
      <c r="A194" s="193">
        <v>813200.11100000003</v>
      </c>
      <c r="B194" s="232" t="s">
        <v>666</v>
      </c>
      <c r="C194" s="194"/>
      <c r="D194" s="187"/>
      <c r="E194" s="202"/>
      <c r="F194" s="194"/>
      <c r="G194" s="188"/>
      <c r="H194" s="195"/>
      <c r="I194" s="188"/>
      <c r="J194" s="189"/>
      <c r="K194" s="189"/>
      <c r="L194" s="189"/>
      <c r="M194" s="189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90">
        <v>144000</v>
      </c>
      <c r="AA194" s="191">
        <v>266000</v>
      </c>
      <c r="AB194" s="191">
        <v>200000</v>
      </c>
      <c r="AC194" s="196"/>
      <c r="AD194" s="88" t="s">
        <v>698</v>
      </c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</row>
    <row r="195" spans="1:256" ht="30" customHeight="1" x14ac:dyDescent="0.25">
      <c r="A195" s="214">
        <v>813200.44</v>
      </c>
      <c r="B195" s="232" t="s">
        <v>88</v>
      </c>
      <c r="C195" s="194">
        <v>250000</v>
      </c>
      <c r="D195" s="187"/>
      <c r="E195" s="202">
        <v>210500</v>
      </c>
      <c r="F195" s="194">
        <v>250000</v>
      </c>
      <c r="G195" s="189">
        <v>135000</v>
      </c>
      <c r="H195" s="195">
        <f>74637+15000</f>
        <v>89637</v>
      </c>
      <c r="I195" s="188">
        <v>153628</v>
      </c>
      <c r="J195" s="189"/>
      <c r="K195" s="189">
        <f>I195*4/3</f>
        <v>204837.33333333334</v>
      </c>
      <c r="L195" s="189">
        <v>206887</v>
      </c>
      <c r="M195" s="189">
        <v>206887</v>
      </c>
      <c r="N195" s="189">
        <v>204000</v>
      </c>
      <c r="O195" s="188">
        <v>280500</v>
      </c>
      <c r="P195" s="188">
        <f>L195+M195</f>
        <v>413774</v>
      </c>
      <c r="Q195" s="188">
        <v>0</v>
      </c>
      <c r="R195" s="188">
        <v>0</v>
      </c>
      <c r="S195" s="188">
        <f>R195*2</f>
        <v>0</v>
      </c>
      <c r="T195" s="188">
        <v>120000</v>
      </c>
      <c r="U195" s="188">
        <v>142265</v>
      </c>
      <c r="V195" s="190">
        <f t="shared" si="77"/>
        <v>170718</v>
      </c>
      <c r="W195" s="188">
        <v>150000</v>
      </c>
      <c r="X195" s="188">
        <v>155124</v>
      </c>
      <c r="Y195" s="188">
        <v>205000</v>
      </c>
      <c r="Z195" s="188">
        <f t="shared" ref="Z195:Z205" si="88">Y195</f>
        <v>205000</v>
      </c>
      <c r="AA195" s="198">
        <v>187000</v>
      </c>
      <c r="AB195" s="198">
        <v>187000</v>
      </c>
      <c r="AC195" s="196"/>
      <c r="AD195" s="88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</row>
    <row r="196" spans="1:256" ht="30" customHeight="1" x14ac:dyDescent="0.25">
      <c r="A196" s="214">
        <v>813200.78</v>
      </c>
      <c r="B196" s="232" t="s">
        <v>89</v>
      </c>
      <c r="C196" s="194">
        <v>180000</v>
      </c>
      <c r="D196" s="187"/>
      <c r="E196" s="202">
        <v>147878</v>
      </c>
      <c r="F196" s="194">
        <v>100000</v>
      </c>
      <c r="G196" s="226">
        <f>25000+25000</f>
        <v>50000</v>
      </c>
      <c r="H196" s="195">
        <f>24374+50000</f>
        <v>74374</v>
      </c>
      <c r="I196" s="188">
        <v>65340</v>
      </c>
      <c r="J196" s="189"/>
      <c r="K196" s="189">
        <f>I196*4/3</f>
        <v>87120</v>
      </c>
      <c r="L196" s="189">
        <v>49059</v>
      </c>
      <c r="M196" s="189">
        <f>L196/8*4</f>
        <v>24529.5</v>
      </c>
      <c r="N196" s="189">
        <v>50000</v>
      </c>
      <c r="O196" s="188">
        <v>50000</v>
      </c>
      <c r="P196" s="188">
        <f>L196+M196</f>
        <v>73588.5</v>
      </c>
      <c r="Q196" s="188">
        <v>0</v>
      </c>
      <c r="R196" s="188">
        <v>6726</v>
      </c>
      <c r="S196" s="188">
        <f>R196*2</f>
        <v>13452</v>
      </c>
      <c r="T196" s="188">
        <v>13452</v>
      </c>
      <c r="U196" s="188">
        <v>20833</v>
      </c>
      <c r="V196" s="190">
        <f t="shared" si="77"/>
        <v>24999.599999999999</v>
      </c>
      <c r="W196" s="188"/>
      <c r="X196" s="188">
        <v>7781</v>
      </c>
      <c r="Y196" s="188">
        <v>10000</v>
      </c>
      <c r="Z196" s="188">
        <f t="shared" si="88"/>
        <v>10000</v>
      </c>
      <c r="AA196" s="198">
        <v>135000</v>
      </c>
      <c r="AB196" s="198">
        <v>25000</v>
      </c>
      <c r="AC196" s="196"/>
      <c r="AD196" s="88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</row>
    <row r="197" spans="1:256" ht="30" customHeight="1" x14ac:dyDescent="0.25">
      <c r="A197" s="214">
        <v>813200.84100000001</v>
      </c>
      <c r="B197" s="232" t="s">
        <v>402</v>
      </c>
      <c r="C197" s="202">
        <v>0</v>
      </c>
      <c r="D197" s="187"/>
      <c r="E197" s="202">
        <v>286931</v>
      </c>
      <c r="F197" s="202">
        <v>180000</v>
      </c>
      <c r="G197" s="189">
        <v>150000</v>
      </c>
      <c r="H197" s="204">
        <f>63959+50000</f>
        <v>113959</v>
      </c>
      <c r="I197" s="188">
        <v>149113</v>
      </c>
      <c r="J197" s="189"/>
      <c r="K197" s="189">
        <f>I197*4/3</f>
        <v>198817.33333333334</v>
      </c>
      <c r="L197" s="189">
        <v>73304</v>
      </c>
      <c r="M197" s="189">
        <f>L197/8*4</f>
        <v>36652</v>
      </c>
      <c r="N197" s="189">
        <v>200000</v>
      </c>
      <c r="O197" s="188">
        <v>73300</v>
      </c>
      <c r="P197" s="188">
        <f>L197+M197</f>
        <v>109956</v>
      </c>
      <c r="Q197" s="188">
        <v>0</v>
      </c>
      <c r="R197" s="188">
        <v>0</v>
      </c>
      <c r="S197" s="188">
        <f>R197*2</f>
        <v>0</v>
      </c>
      <c r="T197" s="188">
        <v>60000</v>
      </c>
      <c r="U197" s="188">
        <v>55200</v>
      </c>
      <c r="V197" s="190">
        <f t="shared" si="77"/>
        <v>66240</v>
      </c>
      <c r="W197" s="188">
        <v>60000</v>
      </c>
      <c r="X197" s="188">
        <v>154361</v>
      </c>
      <c r="Y197" s="188">
        <v>185000</v>
      </c>
      <c r="Z197" s="188">
        <v>200000</v>
      </c>
      <c r="AA197" s="198">
        <v>266000</v>
      </c>
      <c r="AB197" s="198">
        <v>266000</v>
      </c>
      <c r="AC197" s="196"/>
      <c r="AD197" s="88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</row>
    <row r="198" spans="1:256" ht="30" customHeight="1" x14ac:dyDescent="0.25">
      <c r="A198" s="193">
        <v>813201.11</v>
      </c>
      <c r="B198" s="232" t="s">
        <v>216</v>
      </c>
      <c r="C198" s="194">
        <v>370000</v>
      </c>
      <c r="D198" s="187"/>
      <c r="E198" s="202">
        <v>375488</v>
      </c>
      <c r="F198" s="194">
        <v>385000</v>
      </c>
      <c r="G198" s="189">
        <v>413120</v>
      </c>
      <c r="H198" s="195">
        <v>302282</v>
      </c>
      <c r="I198" s="188">
        <v>340602</v>
      </c>
      <c r="J198" s="189"/>
      <c r="K198" s="189">
        <f>I198*4/3</f>
        <v>454136</v>
      </c>
      <c r="L198" s="189">
        <v>280255</v>
      </c>
      <c r="M198" s="189">
        <f>L198/7*5</f>
        <v>200182.14285714287</v>
      </c>
      <c r="N198" s="190">
        <v>444500</v>
      </c>
      <c r="O198" s="190">
        <v>471900</v>
      </c>
      <c r="P198" s="190">
        <f>M198+L198</f>
        <v>480437.14285714284</v>
      </c>
      <c r="Q198" s="190">
        <v>463949.5</v>
      </c>
      <c r="R198" s="190">
        <f>220835*0.98</f>
        <v>216418.3</v>
      </c>
      <c r="S198" s="190">
        <f>R198*2</f>
        <v>432836.6</v>
      </c>
      <c r="T198" s="190">
        <f>S198</f>
        <v>432836.6</v>
      </c>
      <c r="U198" s="190">
        <v>346784</v>
      </c>
      <c r="V198" s="190">
        <f t="shared" si="77"/>
        <v>416140.79999999999</v>
      </c>
      <c r="W198" s="190">
        <v>410000</v>
      </c>
      <c r="X198" s="190">
        <v>354207</v>
      </c>
      <c r="Y198" s="190">
        <v>410000</v>
      </c>
      <c r="Z198" s="190">
        <f>415000+103400</f>
        <v>518400</v>
      </c>
      <c r="AA198" s="191">
        <v>457000</v>
      </c>
      <c r="AB198" s="191">
        <v>417000</v>
      </c>
      <c r="AC198" s="196">
        <v>4.1900000000000004</v>
      </c>
      <c r="AD198" s="88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</row>
    <row r="199" spans="1:256" ht="30" customHeight="1" x14ac:dyDescent="0.25">
      <c r="A199" s="197">
        <v>813201.75</v>
      </c>
      <c r="B199" s="233" t="s">
        <v>479</v>
      </c>
      <c r="C199" s="202"/>
      <c r="D199" s="203"/>
      <c r="E199" s="202"/>
      <c r="F199" s="202"/>
      <c r="G199" s="189"/>
      <c r="H199" s="204"/>
      <c r="I199" s="189"/>
      <c r="J199" s="189"/>
      <c r="K199" s="189"/>
      <c r="L199" s="189"/>
      <c r="M199" s="189"/>
      <c r="N199" s="189"/>
      <c r="O199" s="189"/>
      <c r="P199" s="188">
        <f>L199+M199</f>
        <v>0</v>
      </c>
      <c r="Q199" s="189">
        <v>26887.7</v>
      </c>
      <c r="R199" s="189">
        <v>3880</v>
      </c>
      <c r="S199" s="188">
        <f>Q199</f>
        <v>26887.7</v>
      </c>
      <c r="T199" s="188">
        <f>Q199</f>
        <v>26887.7</v>
      </c>
      <c r="U199" s="189">
        <v>30768</v>
      </c>
      <c r="V199" s="190">
        <f t="shared" si="77"/>
        <v>36921.599999999999</v>
      </c>
      <c r="W199" s="188">
        <v>25589</v>
      </c>
      <c r="X199" s="188">
        <v>25594</v>
      </c>
      <c r="Y199" s="188">
        <v>26000</v>
      </c>
      <c r="Z199" s="188">
        <f t="shared" si="88"/>
        <v>26000</v>
      </c>
      <c r="AA199" s="198">
        <v>40000</v>
      </c>
      <c r="AB199" s="198">
        <v>26000</v>
      </c>
      <c r="AC199" s="196"/>
      <c r="AD199" s="88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</row>
    <row r="200" spans="1:256" ht="30" customHeight="1" x14ac:dyDescent="0.25">
      <c r="A200" s="197">
        <v>813201.85</v>
      </c>
      <c r="B200" s="233" t="s">
        <v>488</v>
      </c>
      <c r="C200" s="202"/>
      <c r="D200" s="203"/>
      <c r="E200" s="202"/>
      <c r="F200" s="202"/>
      <c r="G200" s="189"/>
      <c r="H200" s="204"/>
      <c r="I200" s="189"/>
      <c r="J200" s="189"/>
      <c r="K200" s="189"/>
      <c r="L200" s="189"/>
      <c r="M200" s="189"/>
      <c r="N200" s="189"/>
      <c r="O200" s="189"/>
      <c r="P200" s="188">
        <f>L200+M200</f>
        <v>0</v>
      </c>
      <c r="Q200" s="189">
        <v>316838</v>
      </c>
      <c r="R200" s="189">
        <v>132015</v>
      </c>
      <c r="S200" s="188">
        <f>Q200</f>
        <v>316838</v>
      </c>
      <c r="T200" s="188">
        <f>Q200</f>
        <v>316838</v>
      </c>
      <c r="U200" s="189">
        <v>264030</v>
      </c>
      <c r="V200" s="190">
        <f t="shared" si="77"/>
        <v>316836</v>
      </c>
      <c r="W200" s="188">
        <v>317803</v>
      </c>
      <c r="X200" s="188">
        <v>239985</v>
      </c>
      <c r="Y200" s="188">
        <v>317000</v>
      </c>
      <c r="Z200" s="188">
        <f t="shared" si="88"/>
        <v>317000</v>
      </c>
      <c r="AA200" s="198">
        <v>322000</v>
      </c>
      <c r="AB200" s="198">
        <v>332000</v>
      </c>
      <c r="AC200" s="196"/>
      <c r="AD200" s="88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</row>
    <row r="201" spans="1:256" ht="30" customHeight="1" x14ac:dyDescent="0.25">
      <c r="A201" s="193">
        <v>813202.11</v>
      </c>
      <c r="B201" s="232" t="s">
        <v>216</v>
      </c>
      <c r="C201" s="194">
        <v>390000</v>
      </c>
      <c r="D201" s="187"/>
      <c r="E201" s="202">
        <v>396892</v>
      </c>
      <c r="F201" s="194">
        <v>403000</v>
      </c>
      <c r="G201" s="188">
        <v>449025</v>
      </c>
      <c r="H201" s="195">
        <v>328555</v>
      </c>
      <c r="I201" s="188">
        <v>326050</v>
      </c>
      <c r="J201" s="189"/>
      <c r="K201" s="189">
        <f>I201*4/3</f>
        <v>434733.33333333331</v>
      </c>
      <c r="L201" s="189">
        <v>291254</v>
      </c>
      <c r="M201" s="189">
        <f>L201/7*5</f>
        <v>208038.57142857142</v>
      </c>
      <c r="N201" s="190">
        <v>423820</v>
      </c>
      <c r="O201" s="190">
        <v>464300</v>
      </c>
      <c r="P201" s="190">
        <f>M201+L201</f>
        <v>499292.57142857142</v>
      </c>
      <c r="Q201" s="190">
        <v>548898</v>
      </c>
      <c r="R201" s="190">
        <f>265048*0.98</f>
        <v>259747.04</v>
      </c>
      <c r="S201" s="190">
        <f>R201*2</f>
        <v>519494.08</v>
      </c>
      <c r="T201" s="190">
        <f>S201</f>
        <v>519494.08</v>
      </c>
      <c r="U201" s="190">
        <v>445588</v>
      </c>
      <c r="V201" s="190">
        <f t="shared" si="77"/>
        <v>534705.6</v>
      </c>
      <c r="W201" s="190">
        <v>550000</v>
      </c>
      <c r="X201" s="190">
        <v>489401</v>
      </c>
      <c r="Y201" s="190">
        <v>580000</v>
      </c>
      <c r="Z201" s="190">
        <v>585000</v>
      </c>
      <c r="AA201" s="191">
        <v>650000</v>
      </c>
      <c r="AB201" s="191">
        <v>651000</v>
      </c>
      <c r="AC201" s="196">
        <v>6.03</v>
      </c>
      <c r="AD201" s="88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</row>
    <row r="202" spans="1:256" ht="30" customHeight="1" x14ac:dyDescent="0.25">
      <c r="A202" s="197">
        <v>813202.75</v>
      </c>
      <c r="B202" s="233" t="s">
        <v>480</v>
      </c>
      <c r="C202" s="202"/>
      <c r="D202" s="203"/>
      <c r="E202" s="202"/>
      <c r="F202" s="202"/>
      <c r="G202" s="189"/>
      <c r="H202" s="204"/>
      <c r="I202" s="189"/>
      <c r="J202" s="189"/>
      <c r="K202" s="189"/>
      <c r="L202" s="189"/>
      <c r="M202" s="189"/>
      <c r="N202" s="189"/>
      <c r="O202" s="189"/>
      <c r="P202" s="188">
        <f>L202+M202</f>
        <v>0</v>
      </c>
      <c r="Q202" s="189">
        <v>31810.799999999999</v>
      </c>
      <c r="R202" s="189">
        <v>31777.8</v>
      </c>
      <c r="S202" s="188">
        <f>Q202</f>
        <v>31810.799999999999</v>
      </c>
      <c r="T202" s="188">
        <f>Q202</f>
        <v>31810.799999999999</v>
      </c>
      <c r="U202" s="189">
        <v>63588</v>
      </c>
      <c r="V202" s="190">
        <f t="shared" si="77"/>
        <v>76305.600000000006</v>
      </c>
      <c r="W202" s="188">
        <v>30620</v>
      </c>
      <c r="X202" s="188">
        <v>30624</v>
      </c>
      <c r="Y202" s="188">
        <v>30000</v>
      </c>
      <c r="Z202" s="188">
        <f t="shared" si="88"/>
        <v>30000</v>
      </c>
      <c r="AA202" s="198">
        <v>45000</v>
      </c>
      <c r="AB202" s="198">
        <v>30000</v>
      </c>
      <c r="AC202" s="196"/>
      <c r="AD202" s="88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</row>
    <row r="203" spans="1:256" ht="30" customHeight="1" x14ac:dyDescent="0.25">
      <c r="A203" s="197">
        <v>813202.85</v>
      </c>
      <c r="B203" s="233" t="s">
        <v>489</v>
      </c>
      <c r="C203" s="202"/>
      <c r="D203" s="203"/>
      <c r="E203" s="202"/>
      <c r="F203" s="202"/>
      <c r="G203" s="189"/>
      <c r="H203" s="204"/>
      <c r="I203" s="189"/>
      <c r="J203" s="189"/>
      <c r="K203" s="189"/>
      <c r="L203" s="189"/>
      <c r="M203" s="189"/>
      <c r="N203" s="189"/>
      <c r="O203" s="189"/>
      <c r="P203" s="188">
        <f>L203+M203</f>
        <v>0</v>
      </c>
      <c r="Q203" s="189">
        <v>374850</v>
      </c>
      <c r="R203" s="189">
        <v>156187</v>
      </c>
      <c r="S203" s="188">
        <f>Q203</f>
        <v>374850</v>
      </c>
      <c r="T203" s="188">
        <f>Q203</f>
        <v>374850</v>
      </c>
      <c r="U203" s="189">
        <v>312375</v>
      </c>
      <c r="V203" s="190">
        <f t="shared" si="77"/>
        <v>374850</v>
      </c>
      <c r="W203" s="188">
        <v>309602</v>
      </c>
      <c r="X203" s="188">
        <v>232200</v>
      </c>
      <c r="Y203" s="188">
        <v>310000</v>
      </c>
      <c r="Z203" s="188">
        <f t="shared" si="88"/>
        <v>310000</v>
      </c>
      <c r="AA203" s="198">
        <v>302000</v>
      </c>
      <c r="AB203" s="198">
        <v>298000</v>
      </c>
      <c r="AC203" s="196"/>
      <c r="AD203" s="88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</row>
    <row r="204" spans="1:256" ht="30" customHeight="1" x14ac:dyDescent="0.25">
      <c r="A204" s="193">
        <v>813203.11</v>
      </c>
      <c r="B204" s="232" t="s">
        <v>216</v>
      </c>
      <c r="C204" s="194">
        <v>450000</v>
      </c>
      <c r="D204" s="187"/>
      <c r="E204" s="202">
        <v>478312</v>
      </c>
      <c r="F204" s="194">
        <v>491000</v>
      </c>
      <c r="G204" s="188">
        <v>534900</v>
      </c>
      <c r="H204" s="195">
        <v>391391</v>
      </c>
      <c r="I204" s="188">
        <v>429446</v>
      </c>
      <c r="J204" s="189"/>
      <c r="K204" s="189">
        <f>I204*4/3</f>
        <v>572594.66666666663</v>
      </c>
      <c r="L204" s="189">
        <v>341374</v>
      </c>
      <c r="M204" s="189">
        <f>L204/7*5</f>
        <v>243838.57142857142</v>
      </c>
      <c r="N204" s="190">
        <v>537219</v>
      </c>
      <c r="O204" s="190">
        <v>583200</v>
      </c>
      <c r="P204" s="190">
        <f>M204+L204</f>
        <v>585212.57142857136</v>
      </c>
      <c r="Q204" s="190">
        <v>515292</v>
      </c>
      <c r="R204" s="190">
        <f>332594*0.98</f>
        <v>325942.12</v>
      </c>
      <c r="S204" s="190">
        <f>R204*2</f>
        <v>651884.24</v>
      </c>
      <c r="T204" s="190">
        <f>S204</f>
        <v>651884.24</v>
      </c>
      <c r="U204" s="190">
        <v>546274</v>
      </c>
      <c r="V204" s="190">
        <f t="shared" si="77"/>
        <v>655528.80000000005</v>
      </c>
      <c r="W204" s="190">
        <v>716000</v>
      </c>
      <c r="X204" s="190">
        <v>558574</v>
      </c>
      <c r="Y204" s="190">
        <v>659000</v>
      </c>
      <c r="Z204" s="190">
        <v>655000</v>
      </c>
      <c r="AA204" s="191">
        <v>650000</v>
      </c>
      <c r="AB204" s="191">
        <v>630000</v>
      </c>
      <c r="AC204" s="196">
        <v>6.28</v>
      </c>
      <c r="AD204" s="88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</row>
    <row r="205" spans="1:256" ht="30" customHeight="1" x14ac:dyDescent="0.25">
      <c r="A205" s="197">
        <v>813203.75</v>
      </c>
      <c r="B205" s="233" t="s">
        <v>481</v>
      </c>
      <c r="C205" s="202"/>
      <c r="D205" s="203"/>
      <c r="E205" s="202"/>
      <c r="F205" s="202"/>
      <c r="G205" s="189"/>
      <c r="H205" s="204"/>
      <c r="I205" s="189"/>
      <c r="J205" s="189"/>
      <c r="K205" s="189"/>
      <c r="L205" s="189"/>
      <c r="M205" s="189"/>
      <c r="N205" s="189"/>
      <c r="O205" s="189"/>
      <c r="P205" s="188">
        <f>L205+M205</f>
        <v>0</v>
      </c>
      <c r="Q205" s="189">
        <v>29863.200000000001</v>
      </c>
      <c r="R205" s="189">
        <v>0</v>
      </c>
      <c r="S205" s="188">
        <f>Q205</f>
        <v>29863.200000000001</v>
      </c>
      <c r="T205" s="188">
        <f>Q205</f>
        <v>29863.200000000001</v>
      </c>
      <c r="U205" s="189">
        <v>29863</v>
      </c>
      <c r="V205" s="190">
        <f t="shared" si="77"/>
        <v>35835.599999999999</v>
      </c>
      <c r="W205" s="188">
        <v>30782</v>
      </c>
      <c r="X205" s="188">
        <v>30780</v>
      </c>
      <c r="Y205" s="188">
        <v>31000</v>
      </c>
      <c r="Z205" s="188">
        <f t="shared" si="88"/>
        <v>31000</v>
      </c>
      <c r="AA205" s="198">
        <v>49000</v>
      </c>
      <c r="AB205" s="198">
        <v>33000</v>
      </c>
      <c r="AC205" s="196"/>
      <c r="AD205" s="88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</row>
    <row r="206" spans="1:256" ht="30" customHeight="1" x14ac:dyDescent="0.25">
      <c r="A206" s="197">
        <v>813203.85</v>
      </c>
      <c r="B206" s="233" t="s">
        <v>490</v>
      </c>
      <c r="C206" s="202"/>
      <c r="D206" s="203"/>
      <c r="E206" s="202"/>
      <c r="F206" s="202"/>
      <c r="G206" s="189"/>
      <c r="H206" s="204"/>
      <c r="I206" s="189"/>
      <c r="J206" s="189"/>
      <c r="K206" s="189"/>
      <c r="L206" s="189"/>
      <c r="M206" s="189"/>
      <c r="N206" s="189"/>
      <c r="O206" s="189"/>
      <c r="P206" s="188">
        <f>L206+M206</f>
        <v>0</v>
      </c>
      <c r="Q206" s="189">
        <v>351900</v>
      </c>
      <c r="R206" s="189">
        <v>146625</v>
      </c>
      <c r="S206" s="188">
        <f>Q206</f>
        <v>351900</v>
      </c>
      <c r="T206" s="188">
        <f>Q206</f>
        <v>351900</v>
      </c>
      <c r="U206" s="189">
        <v>293250</v>
      </c>
      <c r="V206" s="190">
        <f t="shared" si="77"/>
        <v>351900</v>
      </c>
      <c r="W206" s="188">
        <v>398889</v>
      </c>
      <c r="X206" s="188">
        <v>290264</v>
      </c>
      <c r="Y206" s="188">
        <v>399000</v>
      </c>
      <c r="Z206" s="188">
        <f>Y206</f>
        <v>399000</v>
      </c>
      <c r="AA206" s="198">
        <v>403000</v>
      </c>
      <c r="AB206" s="198">
        <v>406000</v>
      </c>
      <c r="AC206" s="196"/>
      <c r="AD206" s="88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</row>
    <row r="207" spans="1:256" ht="30" customHeight="1" x14ac:dyDescent="0.25">
      <c r="A207" s="193">
        <v>813204.11</v>
      </c>
      <c r="B207" s="232" t="s">
        <v>216</v>
      </c>
      <c r="C207" s="194">
        <v>340000</v>
      </c>
      <c r="D207" s="187"/>
      <c r="E207" s="202">
        <v>357649</v>
      </c>
      <c r="F207" s="194">
        <v>358000</v>
      </c>
      <c r="G207" s="188">
        <v>448210</v>
      </c>
      <c r="H207" s="195">
        <v>327957</v>
      </c>
      <c r="I207" s="188">
        <v>303353</v>
      </c>
      <c r="J207" s="189"/>
      <c r="K207" s="189">
        <f>I207*4/3</f>
        <v>404470.66666666669</v>
      </c>
      <c r="L207" s="189">
        <v>231822</v>
      </c>
      <c r="M207" s="189">
        <f>L207/7*5</f>
        <v>165587.14285714287</v>
      </c>
      <c r="N207" s="190">
        <v>380234</v>
      </c>
      <c r="O207" s="190">
        <v>388000</v>
      </c>
      <c r="P207" s="190">
        <f>M207+L207</f>
        <v>397409.14285714284</v>
      </c>
      <c r="Q207" s="190">
        <v>368732.5</v>
      </c>
      <c r="R207" s="190">
        <f>222962.68*0.98</f>
        <v>218503.4264</v>
      </c>
      <c r="S207" s="190">
        <f>R207*2</f>
        <v>437006.85279999999</v>
      </c>
      <c r="T207" s="190">
        <f>S207</f>
        <v>437006.85279999999</v>
      </c>
      <c r="U207" s="190">
        <v>357955</v>
      </c>
      <c r="V207" s="190">
        <f t="shared" si="77"/>
        <v>429546</v>
      </c>
      <c r="W207" s="190">
        <v>454000</v>
      </c>
      <c r="X207" s="190">
        <v>379445</v>
      </c>
      <c r="Y207" s="190">
        <v>446000</v>
      </c>
      <c r="Z207" s="190">
        <v>435000</v>
      </c>
      <c r="AA207" s="191">
        <v>495000</v>
      </c>
      <c r="AB207" s="191">
        <v>474000</v>
      </c>
      <c r="AC207" s="196">
        <v>4.68</v>
      </c>
      <c r="AD207" s="88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</row>
    <row r="208" spans="1:256" ht="30" customHeight="1" x14ac:dyDescent="0.25">
      <c r="A208" s="197">
        <v>813204.75</v>
      </c>
      <c r="B208" s="233" t="s">
        <v>482</v>
      </c>
      <c r="C208" s="201" t="s">
        <v>482</v>
      </c>
      <c r="D208" s="201" t="s">
        <v>482</v>
      </c>
      <c r="E208" s="201" t="s">
        <v>482</v>
      </c>
      <c r="F208" s="201" t="s">
        <v>482</v>
      </c>
      <c r="G208" s="201" t="s">
        <v>482</v>
      </c>
      <c r="H208" s="201" t="s">
        <v>482</v>
      </c>
      <c r="I208" s="201" t="s">
        <v>482</v>
      </c>
      <c r="J208" s="201" t="s">
        <v>482</v>
      </c>
      <c r="K208" s="201" t="s">
        <v>482</v>
      </c>
      <c r="L208" s="201">
        <v>0</v>
      </c>
      <c r="M208" s="201">
        <v>0</v>
      </c>
      <c r="N208" s="189"/>
      <c r="O208" s="189"/>
      <c r="P208" s="188">
        <f t="shared" ref="P208:P241" si="89">L208+M208</f>
        <v>0</v>
      </c>
      <c r="Q208" s="189">
        <v>21369.5</v>
      </c>
      <c r="R208" s="189">
        <v>0</v>
      </c>
      <c r="S208" s="188">
        <f>Q208</f>
        <v>21369.5</v>
      </c>
      <c r="T208" s="188">
        <f>Q208</f>
        <v>21369.5</v>
      </c>
      <c r="U208" s="189">
        <v>21370</v>
      </c>
      <c r="V208" s="190">
        <f t="shared" si="77"/>
        <v>25644</v>
      </c>
      <c r="W208" s="188">
        <v>20395</v>
      </c>
      <c r="X208" s="188">
        <v>20396</v>
      </c>
      <c r="Y208" s="188">
        <v>20000</v>
      </c>
      <c r="Z208" s="188">
        <f>Y208</f>
        <v>20000</v>
      </c>
      <c r="AA208" s="198">
        <v>33000</v>
      </c>
      <c r="AB208" s="198">
        <v>22000</v>
      </c>
      <c r="AC208" s="196"/>
      <c r="AD208" s="88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</row>
    <row r="209" spans="1:256" ht="30" customHeight="1" x14ac:dyDescent="0.25">
      <c r="A209" s="197">
        <v>813204.85</v>
      </c>
      <c r="B209" s="233" t="s">
        <v>491</v>
      </c>
      <c r="C209" s="201" t="s">
        <v>482</v>
      </c>
      <c r="D209" s="201" t="s">
        <v>482</v>
      </c>
      <c r="E209" s="201" t="s">
        <v>482</v>
      </c>
      <c r="F209" s="201" t="s">
        <v>482</v>
      </c>
      <c r="G209" s="201" t="s">
        <v>482</v>
      </c>
      <c r="H209" s="201" t="s">
        <v>482</v>
      </c>
      <c r="I209" s="201" t="s">
        <v>482</v>
      </c>
      <c r="J209" s="201" t="s">
        <v>482</v>
      </c>
      <c r="K209" s="201" t="s">
        <v>482</v>
      </c>
      <c r="L209" s="201">
        <v>0</v>
      </c>
      <c r="M209" s="201">
        <v>0</v>
      </c>
      <c r="N209" s="189"/>
      <c r="O209" s="189"/>
      <c r="P209" s="188">
        <f t="shared" si="89"/>
        <v>0</v>
      </c>
      <c r="Q209" s="189">
        <v>251813</v>
      </c>
      <c r="R209" s="189">
        <v>104920</v>
      </c>
      <c r="S209" s="188">
        <f>Q209</f>
        <v>251813</v>
      </c>
      <c r="T209" s="188">
        <f>Q209</f>
        <v>251813</v>
      </c>
      <c r="U209" s="189">
        <v>209840</v>
      </c>
      <c r="V209" s="190">
        <f t="shared" si="77"/>
        <v>251808</v>
      </c>
      <c r="W209" s="188">
        <v>261424</v>
      </c>
      <c r="X209" s="188">
        <v>194832</v>
      </c>
      <c r="Y209" s="188">
        <v>261000</v>
      </c>
      <c r="Z209" s="188">
        <f>Y209</f>
        <v>261000</v>
      </c>
      <c r="AA209" s="198">
        <v>265000</v>
      </c>
      <c r="AB209" s="198">
        <v>265000</v>
      </c>
      <c r="AC209" s="196"/>
      <c r="AD209" s="88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</row>
    <row r="210" spans="1:256" ht="30" customHeight="1" x14ac:dyDescent="0.25">
      <c r="A210" s="227">
        <v>813205.11</v>
      </c>
      <c r="B210" s="232" t="s">
        <v>216</v>
      </c>
      <c r="C210" s="202">
        <v>490000</v>
      </c>
      <c r="D210" s="187"/>
      <c r="E210" s="202">
        <v>498578</v>
      </c>
      <c r="F210" s="202">
        <v>503000</v>
      </c>
      <c r="G210" s="188">
        <v>565380</v>
      </c>
      <c r="H210" s="204">
        <v>413689</v>
      </c>
      <c r="I210" s="188">
        <v>457590</v>
      </c>
      <c r="J210" s="189"/>
      <c r="K210" s="189">
        <f>I210*4/3</f>
        <v>610120</v>
      </c>
      <c r="L210" s="189">
        <v>364736</v>
      </c>
      <c r="M210" s="189">
        <f>L210/7*5</f>
        <v>260525.71428571426</v>
      </c>
      <c r="N210" s="190">
        <v>581047</v>
      </c>
      <c r="O210" s="190">
        <v>595900</v>
      </c>
      <c r="P210" s="190">
        <f>M210+L210</f>
        <v>625261.71428571432</v>
      </c>
      <c r="Q210" s="190">
        <v>415407.5</v>
      </c>
      <c r="R210" s="190">
        <f>256857*0.98</f>
        <v>251719.86</v>
      </c>
      <c r="S210" s="190">
        <f>R210*2</f>
        <v>503439.72</v>
      </c>
      <c r="T210" s="190">
        <f>S210</f>
        <v>503439.72</v>
      </c>
      <c r="U210" s="190">
        <v>416390</v>
      </c>
      <c r="V210" s="190">
        <f t="shared" si="77"/>
        <v>499668</v>
      </c>
      <c r="W210" s="190">
        <v>553000</v>
      </c>
      <c r="X210" s="190">
        <v>494751</v>
      </c>
      <c r="Y210" s="190">
        <v>587000</v>
      </c>
      <c r="Z210" s="190">
        <v>590000</v>
      </c>
      <c r="AA210" s="191">
        <v>666000</v>
      </c>
      <c r="AB210" s="191">
        <v>636000</v>
      </c>
      <c r="AC210" s="196">
        <v>6.7</v>
      </c>
      <c r="AD210" s="88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</row>
    <row r="211" spans="1:256" ht="30" customHeight="1" x14ac:dyDescent="0.25">
      <c r="A211" s="228">
        <v>813205.75</v>
      </c>
      <c r="B211" s="233" t="s">
        <v>483</v>
      </c>
      <c r="C211" s="202"/>
      <c r="D211" s="203"/>
      <c r="E211" s="202"/>
      <c r="F211" s="202"/>
      <c r="G211" s="189"/>
      <c r="H211" s="204"/>
      <c r="I211" s="189"/>
      <c r="J211" s="189"/>
      <c r="K211" s="189"/>
      <c r="L211" s="189"/>
      <c r="M211" s="189"/>
      <c r="N211" s="189"/>
      <c r="O211" s="189"/>
      <c r="P211" s="188">
        <f t="shared" si="89"/>
        <v>0</v>
      </c>
      <c r="Q211" s="189">
        <v>24074.5</v>
      </c>
      <c r="R211" s="189">
        <v>0</v>
      </c>
      <c r="S211" s="188">
        <f>Q211</f>
        <v>24074.5</v>
      </c>
      <c r="T211" s="188">
        <f>Q211</f>
        <v>24074.5</v>
      </c>
      <c r="U211" s="189">
        <v>24075</v>
      </c>
      <c r="V211" s="190">
        <f t="shared" si="77"/>
        <v>28890</v>
      </c>
      <c r="W211" s="188">
        <v>24345</v>
      </c>
      <c r="X211" s="188">
        <v>24346</v>
      </c>
      <c r="Y211" s="188">
        <v>24000</v>
      </c>
      <c r="Z211" s="188">
        <f>Y211</f>
        <v>24000</v>
      </c>
      <c r="AA211" s="198">
        <v>35000</v>
      </c>
      <c r="AB211" s="198">
        <v>22000</v>
      </c>
      <c r="AC211" s="196"/>
      <c r="AD211" s="88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</row>
    <row r="212" spans="1:256" ht="30" customHeight="1" x14ac:dyDescent="0.25">
      <c r="A212" s="228">
        <v>813205.85</v>
      </c>
      <c r="B212" s="233" t="s">
        <v>492</v>
      </c>
      <c r="C212" s="202"/>
      <c r="D212" s="203"/>
      <c r="E212" s="202"/>
      <c r="F212" s="202"/>
      <c r="G212" s="189"/>
      <c r="H212" s="204"/>
      <c r="I212" s="189"/>
      <c r="J212" s="189"/>
      <c r="K212" s="189"/>
      <c r="L212" s="189"/>
      <c r="M212" s="189"/>
      <c r="N212" s="189"/>
      <c r="O212" s="189"/>
      <c r="P212" s="188">
        <f t="shared" si="89"/>
        <v>0</v>
      </c>
      <c r="Q212" s="189">
        <v>283688</v>
      </c>
      <c r="R212" s="189">
        <v>118205</v>
      </c>
      <c r="S212" s="188">
        <f>Q212</f>
        <v>283688</v>
      </c>
      <c r="T212" s="188">
        <f>Q212</f>
        <v>283688</v>
      </c>
      <c r="U212" s="189">
        <v>236410</v>
      </c>
      <c r="V212" s="190">
        <f t="shared" si="77"/>
        <v>283692</v>
      </c>
      <c r="W212" s="188">
        <v>300022</v>
      </c>
      <c r="X212" s="188">
        <v>224235</v>
      </c>
      <c r="Y212" s="188">
        <v>300000</v>
      </c>
      <c r="Z212" s="188">
        <f>Y212</f>
        <v>300000</v>
      </c>
      <c r="AA212" s="198">
        <v>285000</v>
      </c>
      <c r="AB212" s="198">
        <v>275000</v>
      </c>
      <c r="AC212" s="196"/>
      <c r="AD212" s="88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</row>
    <row r="213" spans="1:256" ht="30" customHeight="1" x14ac:dyDescent="0.25">
      <c r="A213" s="227">
        <v>813206.11</v>
      </c>
      <c r="B213" s="232" t="s">
        <v>216</v>
      </c>
      <c r="C213" s="194">
        <v>300000</v>
      </c>
      <c r="D213" s="187"/>
      <c r="E213" s="202">
        <v>322057</v>
      </c>
      <c r="F213" s="202">
        <v>327000</v>
      </c>
      <c r="G213" s="188">
        <v>365870</v>
      </c>
      <c r="H213" s="204">
        <v>267712</v>
      </c>
      <c r="I213" s="188">
        <v>288866</v>
      </c>
      <c r="J213" s="189"/>
      <c r="K213" s="189">
        <f>I213*4/3</f>
        <v>385154.66666666669</v>
      </c>
      <c r="L213" s="189">
        <v>212689</v>
      </c>
      <c r="M213" s="189">
        <f>L213/7*5</f>
        <v>151920.71428571429</v>
      </c>
      <c r="N213" s="190">
        <v>380783</v>
      </c>
      <c r="O213" s="190">
        <v>353700</v>
      </c>
      <c r="P213" s="190">
        <f>M213+L213</f>
        <v>364609.71428571432</v>
      </c>
      <c r="Q213" s="190">
        <v>317390</v>
      </c>
      <c r="R213" s="190">
        <f>204666.55*0.98</f>
        <v>200573.21899999998</v>
      </c>
      <c r="S213" s="190">
        <f>R213*2</f>
        <v>401146.43799999997</v>
      </c>
      <c r="T213" s="190">
        <f>S213</f>
        <v>401146.43799999997</v>
      </c>
      <c r="U213" s="190">
        <v>339580</v>
      </c>
      <c r="V213" s="190">
        <f t="shared" si="77"/>
        <v>407496</v>
      </c>
      <c r="W213" s="190">
        <v>430000</v>
      </c>
      <c r="X213" s="190">
        <v>352521</v>
      </c>
      <c r="Y213" s="190">
        <v>414000</v>
      </c>
      <c r="Z213" s="190">
        <v>416000</v>
      </c>
      <c r="AA213" s="191">
        <v>461000</v>
      </c>
      <c r="AB213" s="191">
        <v>443000</v>
      </c>
      <c r="AC213" s="196">
        <v>4.2</v>
      </c>
      <c r="AD213" s="88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</row>
    <row r="214" spans="1:256" ht="30" customHeight="1" x14ac:dyDescent="0.25">
      <c r="A214" s="228">
        <v>813206.75</v>
      </c>
      <c r="B214" s="233" t="s">
        <v>484</v>
      </c>
      <c r="C214" s="202"/>
      <c r="D214" s="203"/>
      <c r="E214" s="202"/>
      <c r="F214" s="202"/>
      <c r="G214" s="189"/>
      <c r="H214" s="204"/>
      <c r="I214" s="189"/>
      <c r="J214" s="189"/>
      <c r="K214" s="189"/>
      <c r="L214" s="189"/>
      <c r="M214" s="189"/>
      <c r="N214" s="189"/>
      <c r="O214" s="189"/>
      <c r="P214" s="188">
        <f t="shared" si="89"/>
        <v>0</v>
      </c>
      <c r="Q214" s="189">
        <v>18394</v>
      </c>
      <c r="R214" s="189">
        <v>0</v>
      </c>
      <c r="S214" s="188">
        <f>Q214</f>
        <v>18394</v>
      </c>
      <c r="T214" s="188">
        <f>Q214</f>
        <v>18394</v>
      </c>
      <c r="U214" s="189">
        <v>18394</v>
      </c>
      <c r="V214" s="190">
        <f t="shared" si="77"/>
        <v>22072.799999999999</v>
      </c>
      <c r="W214" s="188">
        <v>17474</v>
      </c>
      <c r="X214" s="188">
        <v>17479</v>
      </c>
      <c r="Y214" s="188">
        <v>17000</v>
      </c>
      <c r="Z214" s="188">
        <f t="shared" ref="Z214:Z228" si="90">Y214</f>
        <v>17000</v>
      </c>
      <c r="AA214" s="198">
        <v>26000</v>
      </c>
      <c r="AB214" s="198">
        <v>17000</v>
      </c>
      <c r="AC214" s="196"/>
      <c r="AD214" s="88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</row>
    <row r="215" spans="1:256" ht="30" customHeight="1" x14ac:dyDescent="0.25">
      <c r="A215" s="228">
        <v>813206.85</v>
      </c>
      <c r="B215" s="233" t="s">
        <v>493</v>
      </c>
      <c r="C215" s="202"/>
      <c r="D215" s="203"/>
      <c r="E215" s="202"/>
      <c r="F215" s="202"/>
      <c r="G215" s="189"/>
      <c r="H215" s="204"/>
      <c r="I215" s="189"/>
      <c r="J215" s="189"/>
      <c r="K215" s="189"/>
      <c r="L215" s="189"/>
      <c r="M215" s="189"/>
      <c r="N215" s="189"/>
      <c r="O215" s="189"/>
      <c r="P215" s="188">
        <f t="shared" si="89"/>
        <v>0</v>
      </c>
      <c r="Q215" s="189">
        <v>216750</v>
      </c>
      <c r="R215" s="189">
        <v>90315</v>
      </c>
      <c r="S215" s="188">
        <f>Q215</f>
        <v>216750</v>
      </c>
      <c r="T215" s="188">
        <f>Q215</f>
        <v>216750</v>
      </c>
      <c r="U215" s="189">
        <v>180630</v>
      </c>
      <c r="V215" s="190">
        <f t="shared" si="77"/>
        <v>216756</v>
      </c>
      <c r="W215" s="188">
        <v>221238</v>
      </c>
      <c r="X215" s="188">
        <v>166259</v>
      </c>
      <c r="Y215" s="188">
        <v>221000</v>
      </c>
      <c r="Z215" s="188">
        <f t="shared" si="90"/>
        <v>221000</v>
      </c>
      <c r="AA215" s="198">
        <v>216000</v>
      </c>
      <c r="AB215" s="198">
        <v>206000</v>
      </c>
      <c r="AC215" s="196"/>
      <c r="AD215" s="88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</row>
    <row r="216" spans="1:256" ht="30" customHeight="1" x14ac:dyDescent="0.25">
      <c r="A216" s="227">
        <v>813207.11</v>
      </c>
      <c r="B216" s="232" t="s">
        <v>216</v>
      </c>
      <c r="C216" s="194">
        <v>260000</v>
      </c>
      <c r="D216" s="187"/>
      <c r="E216" s="202">
        <v>257764</v>
      </c>
      <c r="F216" s="194">
        <v>263000</v>
      </c>
      <c r="G216" s="188">
        <v>294100</v>
      </c>
      <c r="H216" s="195">
        <v>215197</v>
      </c>
      <c r="I216" s="188">
        <v>221056</v>
      </c>
      <c r="J216" s="189"/>
      <c r="K216" s="189">
        <f>I216*4/3</f>
        <v>294741.33333333331</v>
      </c>
      <c r="L216" s="189">
        <v>204987</v>
      </c>
      <c r="M216" s="189">
        <f>L216/7*5</f>
        <v>146419.28571428571</v>
      </c>
      <c r="N216" s="190">
        <v>282758</v>
      </c>
      <c r="O216" s="190">
        <v>326300</v>
      </c>
      <c r="P216" s="190">
        <f>M216+L216</f>
        <v>351406.28571428568</v>
      </c>
      <c r="Q216" s="190">
        <v>361264.5</v>
      </c>
      <c r="R216" s="190">
        <f>171462*0.98</f>
        <v>168032.76</v>
      </c>
      <c r="S216" s="190">
        <f>R216*2</f>
        <v>336065.52</v>
      </c>
      <c r="T216" s="190">
        <f>S216</f>
        <v>336065.52</v>
      </c>
      <c r="U216" s="190">
        <v>289999</v>
      </c>
      <c r="V216" s="190">
        <f t="shared" si="77"/>
        <v>347998.8</v>
      </c>
      <c r="W216" s="190">
        <v>369000</v>
      </c>
      <c r="X216" s="190">
        <v>298605</v>
      </c>
      <c r="Y216" s="190">
        <v>358000</v>
      </c>
      <c r="Z216" s="190">
        <f>380000+99600</f>
        <v>479600</v>
      </c>
      <c r="AA216" s="191">
        <v>458000</v>
      </c>
      <c r="AB216" s="191">
        <v>435000</v>
      </c>
      <c r="AC216" s="196">
        <v>3.8</v>
      </c>
      <c r="AD216" s="88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</row>
    <row r="217" spans="1:256" ht="30" customHeight="1" x14ac:dyDescent="0.25">
      <c r="A217" s="228">
        <v>813207.75</v>
      </c>
      <c r="B217" s="233" t="s">
        <v>485</v>
      </c>
      <c r="C217" s="202"/>
      <c r="D217" s="203"/>
      <c r="E217" s="202"/>
      <c r="F217" s="202"/>
      <c r="G217" s="189"/>
      <c r="H217" s="204"/>
      <c r="I217" s="189"/>
      <c r="J217" s="189"/>
      <c r="K217" s="189"/>
      <c r="L217" s="189"/>
      <c r="M217" s="189"/>
      <c r="N217" s="189"/>
      <c r="O217" s="189"/>
      <c r="P217" s="188">
        <f t="shared" si="89"/>
        <v>0</v>
      </c>
      <c r="Q217" s="189">
        <v>20936.7</v>
      </c>
      <c r="R217" s="189">
        <v>0</v>
      </c>
      <c r="S217" s="188">
        <f>Q217</f>
        <v>20936.7</v>
      </c>
      <c r="T217" s="188">
        <f>Q217</f>
        <v>20936.7</v>
      </c>
      <c r="U217" s="189">
        <v>20937</v>
      </c>
      <c r="V217" s="190">
        <f t="shared" ref="V217:V270" si="91">U217*12/10</f>
        <v>25124.400000000001</v>
      </c>
      <c r="W217" s="188">
        <v>21423</v>
      </c>
      <c r="X217" s="188">
        <v>21428</v>
      </c>
      <c r="Y217" s="188">
        <v>21000</v>
      </c>
      <c r="Z217" s="188">
        <f t="shared" si="90"/>
        <v>21000</v>
      </c>
      <c r="AA217" s="198">
        <v>34000</v>
      </c>
      <c r="AB217" s="198">
        <v>22000</v>
      </c>
      <c r="AC217" s="196"/>
      <c r="AD217" s="88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</row>
    <row r="218" spans="1:256" ht="30" customHeight="1" x14ac:dyDescent="0.25">
      <c r="A218" s="228">
        <v>813207.85</v>
      </c>
      <c r="B218" s="233" t="s">
        <v>494</v>
      </c>
      <c r="C218" s="202"/>
      <c r="D218" s="203"/>
      <c r="E218" s="202"/>
      <c r="F218" s="202"/>
      <c r="G218" s="189"/>
      <c r="H218" s="204"/>
      <c r="I218" s="189"/>
      <c r="J218" s="189"/>
      <c r="K218" s="189"/>
      <c r="L218" s="189"/>
      <c r="M218" s="189"/>
      <c r="N218" s="189"/>
      <c r="O218" s="189"/>
      <c r="P218" s="188">
        <f t="shared" si="89"/>
        <v>0</v>
      </c>
      <c r="Q218" s="189">
        <v>382201</v>
      </c>
      <c r="R218" s="189">
        <v>102796</v>
      </c>
      <c r="S218" s="188">
        <f>Q218</f>
        <v>382201</v>
      </c>
      <c r="T218" s="188">
        <f>Q218</f>
        <v>382201</v>
      </c>
      <c r="U218" s="189">
        <v>205591</v>
      </c>
      <c r="V218" s="190">
        <f t="shared" si="91"/>
        <v>246709.2</v>
      </c>
      <c r="W218" s="188">
        <v>265076</v>
      </c>
      <c r="X218" s="188">
        <v>198810</v>
      </c>
      <c r="Y218" s="188">
        <v>265000</v>
      </c>
      <c r="Z218" s="188">
        <f t="shared" si="90"/>
        <v>265000</v>
      </c>
      <c r="AA218" s="198">
        <v>282000</v>
      </c>
      <c r="AB218" s="198">
        <v>277000</v>
      </c>
      <c r="AC218" s="196"/>
      <c r="AD218" s="88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</row>
    <row r="219" spans="1:256" ht="30" customHeight="1" x14ac:dyDescent="0.25">
      <c r="A219" s="227">
        <v>813208.11</v>
      </c>
      <c r="B219" s="232" t="s">
        <v>216</v>
      </c>
      <c r="C219" s="194">
        <v>400000</v>
      </c>
      <c r="D219" s="187"/>
      <c r="E219" s="202">
        <v>371302</v>
      </c>
      <c r="F219" s="194">
        <v>384000</v>
      </c>
      <c r="G219" s="188">
        <v>378300</v>
      </c>
      <c r="H219" s="195">
        <v>218277</v>
      </c>
      <c r="I219" s="188">
        <v>334938</v>
      </c>
      <c r="J219" s="189"/>
      <c r="K219" s="189">
        <f>I219*4/3</f>
        <v>446584</v>
      </c>
      <c r="L219" s="189">
        <v>293211</v>
      </c>
      <c r="M219" s="189">
        <f>L219/7*5</f>
        <v>209436.42857142858</v>
      </c>
      <c r="N219" s="190">
        <v>430355</v>
      </c>
      <c r="O219" s="190">
        <v>486400</v>
      </c>
      <c r="P219" s="190">
        <f>M219+L219</f>
        <v>502647.42857142858</v>
      </c>
      <c r="Q219" s="190">
        <v>562900.5</v>
      </c>
      <c r="R219" s="190">
        <f>296972*0.98</f>
        <v>291032.56</v>
      </c>
      <c r="S219" s="190">
        <f>R219*2</f>
        <v>582065.12</v>
      </c>
      <c r="T219" s="190">
        <f>S219</f>
        <v>582065.12</v>
      </c>
      <c r="U219" s="190">
        <v>489950</v>
      </c>
      <c r="V219" s="190">
        <f t="shared" si="91"/>
        <v>587940</v>
      </c>
      <c r="W219" s="190">
        <v>640000</v>
      </c>
      <c r="X219" s="190">
        <v>486961</v>
      </c>
      <c r="Y219" s="190">
        <v>581000</v>
      </c>
      <c r="Z219" s="190">
        <v>590000</v>
      </c>
      <c r="AA219" s="191">
        <v>632000</v>
      </c>
      <c r="AB219" s="191">
        <v>601000</v>
      </c>
      <c r="AC219" s="196">
        <v>6.07</v>
      </c>
      <c r="AD219" s="88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</row>
    <row r="220" spans="1:256" ht="30" customHeight="1" x14ac:dyDescent="0.25">
      <c r="A220" s="228">
        <v>813208.75</v>
      </c>
      <c r="B220" s="233" t="s">
        <v>486</v>
      </c>
      <c r="C220" s="202"/>
      <c r="D220" s="203"/>
      <c r="E220" s="202"/>
      <c r="F220" s="202"/>
      <c r="G220" s="189"/>
      <c r="H220" s="204"/>
      <c r="I220" s="189"/>
      <c r="J220" s="189"/>
      <c r="K220" s="189"/>
      <c r="L220" s="189"/>
      <c r="M220" s="189"/>
      <c r="N220" s="189"/>
      <c r="O220" s="189"/>
      <c r="P220" s="188">
        <f t="shared" si="89"/>
        <v>0</v>
      </c>
      <c r="Q220" s="189">
        <v>32622.3</v>
      </c>
      <c r="R220" s="189">
        <v>0</v>
      </c>
      <c r="S220" s="188">
        <f>Q220</f>
        <v>32622.3</v>
      </c>
      <c r="T220" s="188">
        <f>Q220</f>
        <v>32622.3</v>
      </c>
      <c r="U220" s="189">
        <v>32622</v>
      </c>
      <c r="V220" s="190">
        <f t="shared" si="91"/>
        <v>39146.400000000001</v>
      </c>
      <c r="W220" s="188">
        <v>31648</v>
      </c>
      <c r="X220" s="188">
        <v>31645</v>
      </c>
      <c r="Y220" s="188">
        <v>31000</v>
      </c>
      <c r="Z220" s="188">
        <f t="shared" si="90"/>
        <v>31000</v>
      </c>
      <c r="AA220" s="198">
        <v>49000</v>
      </c>
      <c r="AB220" s="198">
        <v>33000</v>
      </c>
      <c r="AC220" s="196"/>
      <c r="AD220" s="88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</row>
    <row r="221" spans="1:256" ht="30" customHeight="1" x14ac:dyDescent="0.25">
      <c r="A221" s="228">
        <v>813208.85</v>
      </c>
      <c r="B221" s="233" t="s">
        <v>495</v>
      </c>
      <c r="C221" s="202"/>
      <c r="D221" s="203"/>
      <c r="E221" s="202"/>
      <c r="F221" s="202"/>
      <c r="G221" s="189"/>
      <c r="H221" s="204"/>
      <c r="I221" s="189"/>
      <c r="J221" s="189"/>
      <c r="K221" s="189"/>
      <c r="L221" s="189"/>
      <c r="M221" s="189"/>
      <c r="N221" s="189"/>
      <c r="O221" s="189"/>
      <c r="P221" s="188">
        <f t="shared" si="89"/>
        <v>0</v>
      </c>
      <c r="Q221" s="189">
        <v>384413</v>
      </c>
      <c r="R221" s="189">
        <v>160170</v>
      </c>
      <c r="S221" s="188">
        <f>Q221</f>
        <v>384413</v>
      </c>
      <c r="T221" s="188">
        <f>Q221</f>
        <v>384413</v>
      </c>
      <c r="U221" s="189">
        <v>320340</v>
      </c>
      <c r="V221" s="190">
        <f t="shared" si="91"/>
        <v>384408</v>
      </c>
      <c r="W221" s="188">
        <v>401096</v>
      </c>
      <c r="X221" s="188">
        <v>299583</v>
      </c>
      <c r="Y221" s="188">
        <v>401000</v>
      </c>
      <c r="Z221" s="188">
        <f t="shared" si="90"/>
        <v>401000</v>
      </c>
      <c r="AA221" s="198">
        <v>410000</v>
      </c>
      <c r="AB221" s="198">
        <v>412000</v>
      </c>
      <c r="AC221" s="196"/>
      <c r="AD221" s="88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</row>
    <row r="222" spans="1:256" ht="30" customHeight="1" x14ac:dyDescent="0.25">
      <c r="A222" s="227">
        <v>813209.11</v>
      </c>
      <c r="B222" s="232" t="s">
        <v>247</v>
      </c>
      <c r="C222" s="194">
        <v>290000</v>
      </c>
      <c r="D222" s="187"/>
      <c r="E222" s="202">
        <v>309699</v>
      </c>
      <c r="F222" s="194">
        <v>311000</v>
      </c>
      <c r="G222" s="188">
        <v>331860</v>
      </c>
      <c r="H222" s="195">
        <v>242829</v>
      </c>
      <c r="I222" s="188">
        <v>349746</v>
      </c>
      <c r="J222" s="189"/>
      <c r="K222" s="189">
        <f t="shared" ref="K222:K272" si="92">I222*4/3</f>
        <v>466328</v>
      </c>
      <c r="L222" s="189">
        <v>228320</v>
      </c>
      <c r="M222" s="189">
        <f>L222/7*5</f>
        <v>163085.71428571429</v>
      </c>
      <c r="N222" s="190">
        <v>422222</v>
      </c>
      <c r="O222" s="190">
        <v>359600</v>
      </c>
      <c r="P222" s="190">
        <f>M222+L222</f>
        <v>391405.71428571432</v>
      </c>
      <c r="Q222" s="190">
        <v>445279.5</v>
      </c>
      <c r="R222" s="190">
        <f>222587.94*0.98</f>
        <v>218136.18119999999</v>
      </c>
      <c r="S222" s="190">
        <f>R222*2</f>
        <v>436272.36239999998</v>
      </c>
      <c r="T222" s="190">
        <f>S222</f>
        <v>436272.36239999998</v>
      </c>
      <c r="U222" s="190">
        <v>363389</v>
      </c>
      <c r="V222" s="190">
        <f t="shared" si="91"/>
        <v>436066.8</v>
      </c>
      <c r="W222" s="190">
        <v>460000</v>
      </c>
      <c r="X222" s="190">
        <v>371882</v>
      </c>
      <c r="Y222" s="190">
        <v>436000</v>
      </c>
      <c r="Z222" s="190">
        <v>420000</v>
      </c>
      <c r="AA222" s="191">
        <v>435000</v>
      </c>
      <c r="AB222" s="191">
        <v>419000</v>
      </c>
      <c r="AC222" s="196">
        <v>4.34</v>
      </c>
      <c r="AD222" s="88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</row>
    <row r="223" spans="1:256" ht="30" customHeight="1" x14ac:dyDescent="0.25">
      <c r="A223" s="228">
        <v>813209.75</v>
      </c>
      <c r="B223" s="233" t="s">
        <v>487</v>
      </c>
      <c r="C223" s="202"/>
      <c r="D223" s="203"/>
      <c r="E223" s="202"/>
      <c r="F223" s="202"/>
      <c r="G223" s="189"/>
      <c r="H223" s="204"/>
      <c r="I223" s="189"/>
      <c r="J223" s="189"/>
      <c r="K223" s="189"/>
      <c r="L223" s="189"/>
      <c r="M223" s="189"/>
      <c r="N223" s="189"/>
      <c r="O223" s="189"/>
      <c r="P223" s="188">
        <f t="shared" si="89"/>
        <v>0</v>
      </c>
      <c r="Q223" s="189">
        <v>25805.7</v>
      </c>
      <c r="R223" s="189">
        <v>0</v>
      </c>
      <c r="S223" s="188">
        <f>Q223</f>
        <v>25805.7</v>
      </c>
      <c r="T223" s="188">
        <f>Q223</f>
        <v>25805.7</v>
      </c>
      <c r="U223" s="189">
        <v>25806</v>
      </c>
      <c r="V223" s="190">
        <f t="shared" si="91"/>
        <v>30967.200000000001</v>
      </c>
      <c r="W223" s="188">
        <v>25427</v>
      </c>
      <c r="X223" s="188">
        <v>25426</v>
      </c>
      <c r="Y223" s="188">
        <v>25000</v>
      </c>
      <c r="Z223" s="188">
        <f t="shared" si="90"/>
        <v>25000</v>
      </c>
      <c r="AA223" s="198">
        <v>39000</v>
      </c>
      <c r="AB223" s="198">
        <v>25000</v>
      </c>
      <c r="AC223" s="196"/>
      <c r="AD223" s="88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</row>
    <row r="224" spans="1:256" ht="30" customHeight="1" x14ac:dyDescent="0.25">
      <c r="A224" s="228">
        <v>813209.85</v>
      </c>
      <c r="B224" s="233" t="s">
        <v>496</v>
      </c>
      <c r="C224" s="202"/>
      <c r="D224" s="203"/>
      <c r="E224" s="202"/>
      <c r="F224" s="202"/>
      <c r="G224" s="189"/>
      <c r="H224" s="204"/>
      <c r="I224" s="189"/>
      <c r="J224" s="189"/>
      <c r="K224" s="189"/>
      <c r="L224" s="189"/>
      <c r="M224" s="189"/>
      <c r="N224" s="189"/>
      <c r="O224" s="189"/>
      <c r="P224" s="188">
        <f t="shared" si="89"/>
        <v>0</v>
      </c>
      <c r="Q224" s="189">
        <v>304088</v>
      </c>
      <c r="R224" s="189">
        <v>126705</v>
      </c>
      <c r="S224" s="188">
        <f>Q224</f>
        <v>304088</v>
      </c>
      <c r="T224" s="188">
        <f>Q224</f>
        <v>304088</v>
      </c>
      <c r="U224" s="189">
        <v>253410</v>
      </c>
      <c r="V224" s="190">
        <f t="shared" si="91"/>
        <v>304092</v>
      </c>
      <c r="W224" s="188">
        <v>313042</v>
      </c>
      <c r="X224" s="188">
        <v>234783</v>
      </c>
      <c r="Y224" s="188">
        <v>313000</v>
      </c>
      <c r="Z224" s="188">
        <f t="shared" si="90"/>
        <v>313000</v>
      </c>
      <c r="AA224" s="198">
        <v>317000</v>
      </c>
      <c r="AB224" s="198">
        <v>315000</v>
      </c>
      <c r="AC224" s="196"/>
      <c r="AD224" s="88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</row>
    <row r="225" spans="1:256" ht="30" customHeight="1" x14ac:dyDescent="0.25">
      <c r="A225" s="228"/>
      <c r="B225" s="233"/>
      <c r="C225" s="202"/>
      <c r="D225" s="203"/>
      <c r="E225" s="202"/>
      <c r="F225" s="202"/>
      <c r="G225" s="189"/>
      <c r="H225" s="204"/>
      <c r="I225" s="189"/>
      <c r="J225" s="189"/>
      <c r="K225" s="189"/>
      <c r="L225" s="189"/>
      <c r="M225" s="189"/>
      <c r="N225" s="189"/>
      <c r="O225" s="189"/>
      <c r="P225" s="188">
        <f t="shared" si="89"/>
        <v>0</v>
      </c>
      <c r="Q225" s="189">
        <v>200000</v>
      </c>
      <c r="R225" s="189">
        <v>144542</v>
      </c>
      <c r="S225" s="188">
        <v>250000</v>
      </c>
      <c r="T225" s="188">
        <v>250000</v>
      </c>
      <c r="U225" s="189">
        <v>236751</v>
      </c>
      <c r="V225" s="190">
        <f t="shared" si="91"/>
        <v>284101.2</v>
      </c>
      <c r="W225" s="188"/>
      <c r="X225" s="188"/>
      <c r="Y225" s="188"/>
      <c r="Z225" s="188"/>
      <c r="AA225" s="198"/>
      <c r="AB225" s="198"/>
      <c r="AC225" s="196"/>
      <c r="AD225" s="88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</row>
    <row r="226" spans="1:256" ht="30" customHeight="1" x14ac:dyDescent="0.25">
      <c r="A226" s="227">
        <v>813300.11</v>
      </c>
      <c r="B226" s="232" t="s">
        <v>90</v>
      </c>
      <c r="C226" s="194">
        <v>1350000</v>
      </c>
      <c r="D226" s="187"/>
      <c r="E226" s="202">
        <v>1502222</v>
      </c>
      <c r="F226" s="194">
        <v>1555000</v>
      </c>
      <c r="G226" s="188">
        <v>1882490</v>
      </c>
      <c r="H226" s="195">
        <v>1377427</v>
      </c>
      <c r="I226" s="188">
        <v>1543071</v>
      </c>
      <c r="J226" s="189"/>
      <c r="K226" s="189">
        <f t="shared" si="92"/>
        <v>2057428</v>
      </c>
      <c r="L226" s="189">
        <v>1360124</v>
      </c>
      <c r="M226" s="189">
        <f>L226/7*5</f>
        <v>971517.14285714296</v>
      </c>
      <c r="N226" s="190">
        <v>1982355</v>
      </c>
      <c r="O226" s="190">
        <v>2053700</v>
      </c>
      <c r="P226" s="190">
        <f>M226+L226</f>
        <v>2331641.1428571427</v>
      </c>
      <c r="Q226" s="190">
        <f>O226*1.045</f>
        <v>2146116.5</v>
      </c>
      <c r="R226" s="190">
        <f>1290487.62*0.98</f>
        <v>1264677.8676</v>
      </c>
      <c r="S226" s="190">
        <f t="shared" ref="S226:S235" si="93">R226*2</f>
        <v>2529355.7352</v>
      </c>
      <c r="T226" s="190">
        <f>S226</f>
        <v>2529355.7352</v>
      </c>
      <c r="U226" s="190">
        <v>1966518</v>
      </c>
      <c r="V226" s="190">
        <f t="shared" si="91"/>
        <v>2359821.6</v>
      </c>
      <c r="W226" s="190">
        <v>2500000</v>
      </c>
      <c r="X226" s="190">
        <f>Y226*10/12</f>
        <v>2241666.6666666665</v>
      </c>
      <c r="Y226" s="190">
        <v>2690000</v>
      </c>
      <c r="Z226" s="190">
        <v>2777000</v>
      </c>
      <c r="AA226" s="191">
        <v>3512000</v>
      </c>
      <c r="AB226" s="191">
        <v>4582000</v>
      </c>
      <c r="AC226" s="196">
        <f>16.49+0.9+1.8+0.93+1.8+1.9+0.9+0.9+2.58+1.8+1.4+0.7</f>
        <v>32.099999999999994</v>
      </c>
      <c r="AD226" s="88" t="s">
        <v>699</v>
      </c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</row>
    <row r="227" spans="1:256" ht="30" customHeight="1" x14ac:dyDescent="0.25">
      <c r="A227" s="229"/>
      <c r="B227" s="232"/>
      <c r="C227" s="194"/>
      <c r="D227" s="187"/>
      <c r="E227" s="202"/>
      <c r="F227" s="194"/>
      <c r="G227" s="189"/>
      <c r="H227" s="195"/>
      <c r="I227" s="188"/>
      <c r="J227" s="189"/>
      <c r="K227" s="189"/>
      <c r="L227" s="189"/>
      <c r="M227" s="189"/>
      <c r="N227" s="189"/>
      <c r="O227" s="188"/>
      <c r="P227" s="188"/>
      <c r="Q227" s="188"/>
      <c r="R227" s="188"/>
      <c r="S227" s="188"/>
      <c r="T227" s="188"/>
      <c r="U227" s="188"/>
      <c r="V227" s="190"/>
      <c r="W227" s="188"/>
      <c r="X227" s="188"/>
      <c r="Y227" s="188"/>
      <c r="Z227" s="188"/>
      <c r="AA227" s="198"/>
      <c r="AB227" s="198"/>
      <c r="AC227" s="196"/>
      <c r="AD227" s="88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</row>
    <row r="228" spans="1:256" ht="30" customHeight="1" x14ac:dyDescent="0.25">
      <c r="A228" s="229">
        <v>813300.78</v>
      </c>
      <c r="B228" s="232" t="s">
        <v>91</v>
      </c>
      <c r="C228" s="194">
        <v>25000</v>
      </c>
      <c r="D228" s="187"/>
      <c r="E228" s="202">
        <v>60887</v>
      </c>
      <c r="F228" s="194">
        <v>45000</v>
      </c>
      <c r="G228" s="189">
        <v>32000</v>
      </c>
      <c r="H228" s="195">
        <v>22671</v>
      </c>
      <c r="I228" s="188">
        <v>31331</v>
      </c>
      <c r="J228" s="189"/>
      <c r="K228" s="189">
        <f t="shared" si="92"/>
        <v>41774.666666666664</v>
      </c>
      <c r="L228" s="189">
        <v>31568</v>
      </c>
      <c r="M228" s="189">
        <f>L228/8*4</f>
        <v>15784</v>
      </c>
      <c r="N228" s="189">
        <v>31331</v>
      </c>
      <c r="O228" s="188">
        <v>47200</v>
      </c>
      <c r="P228" s="188">
        <f t="shared" si="89"/>
        <v>47352</v>
      </c>
      <c r="Q228" s="188">
        <f>O228</f>
        <v>47200</v>
      </c>
      <c r="R228" s="188">
        <v>27200</v>
      </c>
      <c r="S228" s="188">
        <f t="shared" si="93"/>
        <v>54400</v>
      </c>
      <c r="T228" s="188">
        <v>54400</v>
      </c>
      <c r="U228" s="188">
        <v>44866</v>
      </c>
      <c r="V228" s="190">
        <f t="shared" si="91"/>
        <v>53839.199999999997</v>
      </c>
      <c r="W228" s="188">
        <v>55000</v>
      </c>
      <c r="X228" s="188">
        <v>57473</v>
      </c>
      <c r="Y228" s="188">
        <v>75000</v>
      </c>
      <c r="Z228" s="188">
        <f t="shared" si="90"/>
        <v>75000</v>
      </c>
      <c r="AA228" s="198">
        <v>70000</v>
      </c>
      <c r="AB228" s="198">
        <v>70000</v>
      </c>
      <c r="AC228" s="196"/>
      <c r="AD228" s="88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</row>
    <row r="229" spans="1:256" ht="30" customHeight="1" x14ac:dyDescent="0.25">
      <c r="A229" s="227">
        <v>813312.11</v>
      </c>
      <c r="B229" s="232" t="s">
        <v>623</v>
      </c>
      <c r="C229" s="194"/>
      <c r="D229" s="187"/>
      <c r="E229" s="202"/>
      <c r="F229" s="194"/>
      <c r="G229" s="188"/>
      <c r="H229" s="195"/>
      <c r="I229" s="188"/>
      <c r="J229" s="189"/>
      <c r="K229" s="189"/>
      <c r="L229" s="189"/>
      <c r="M229" s="189"/>
      <c r="N229" s="190"/>
      <c r="O229" s="190"/>
      <c r="P229" s="190"/>
      <c r="Q229" s="190"/>
      <c r="R229" s="190"/>
      <c r="S229" s="190"/>
      <c r="T229" s="190"/>
      <c r="U229" s="190">
        <v>79564</v>
      </c>
      <c r="V229" s="190">
        <f t="shared" si="91"/>
        <v>95476.800000000003</v>
      </c>
      <c r="W229" s="190">
        <v>85000</v>
      </c>
      <c r="X229" s="190">
        <v>409169</v>
      </c>
      <c r="Y229" s="190">
        <v>491000</v>
      </c>
      <c r="Z229" s="190">
        <v>500000</v>
      </c>
      <c r="AA229" s="191">
        <v>646000</v>
      </c>
      <c r="AB229" s="191">
        <v>714000</v>
      </c>
      <c r="AC229" s="196">
        <v>5.82</v>
      </c>
      <c r="AD229" s="88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</row>
    <row r="230" spans="1:256" ht="30" customHeight="1" x14ac:dyDescent="0.25">
      <c r="A230" s="227">
        <v>813400.11</v>
      </c>
      <c r="B230" s="232" t="s">
        <v>446</v>
      </c>
      <c r="C230" s="194"/>
      <c r="D230" s="187"/>
      <c r="E230" s="202"/>
      <c r="F230" s="194"/>
      <c r="G230" s="189">
        <v>20000</v>
      </c>
      <c r="H230" s="195"/>
      <c r="I230" s="188">
        <v>15337</v>
      </c>
      <c r="J230" s="189"/>
      <c r="K230" s="189">
        <f t="shared" si="92"/>
        <v>20449.333333333332</v>
      </c>
      <c r="L230" s="189">
        <v>0</v>
      </c>
      <c r="M230" s="189">
        <f>L230/7*5</f>
        <v>0</v>
      </c>
      <c r="N230" s="190">
        <v>20000</v>
      </c>
      <c r="O230" s="190">
        <f>M230+L230</f>
        <v>0</v>
      </c>
      <c r="P230" s="190">
        <f>M230+L230</f>
        <v>0</v>
      </c>
      <c r="Q230" s="190">
        <f>O230*1.045</f>
        <v>0</v>
      </c>
      <c r="R230" s="190">
        <f>6145.5</f>
        <v>6145.5</v>
      </c>
      <c r="S230" s="190">
        <f t="shared" si="93"/>
        <v>12291</v>
      </c>
      <c r="T230" s="190">
        <f>S230</f>
        <v>12291</v>
      </c>
      <c r="U230" s="190">
        <v>12209</v>
      </c>
      <c r="V230" s="190">
        <f t="shared" si="91"/>
        <v>14650.8</v>
      </c>
      <c r="W230" s="190">
        <v>20000</v>
      </c>
      <c r="X230" s="190">
        <v>16972</v>
      </c>
      <c r="Y230" s="190">
        <v>20000</v>
      </c>
      <c r="Z230" s="190">
        <v>22000</v>
      </c>
      <c r="AA230" s="191">
        <v>23000</v>
      </c>
      <c r="AB230" s="191">
        <v>23000</v>
      </c>
      <c r="AC230" s="196">
        <v>0.25</v>
      </c>
      <c r="AD230" s="88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</row>
    <row r="231" spans="1:256" ht="30" customHeight="1" x14ac:dyDescent="0.25">
      <c r="A231" s="227">
        <v>813600.11</v>
      </c>
      <c r="B231" s="232" t="s">
        <v>232</v>
      </c>
      <c r="C231" s="202">
        <v>750000</v>
      </c>
      <c r="D231" s="203"/>
      <c r="E231" s="202">
        <v>1099358</v>
      </c>
      <c r="F231" s="202">
        <v>1120000</v>
      </c>
      <c r="G231" s="189">
        <v>997960</v>
      </c>
      <c r="H231" s="204">
        <v>730210</v>
      </c>
      <c r="I231" s="188">
        <v>1118303</v>
      </c>
      <c r="J231" s="189"/>
      <c r="K231" s="189">
        <f t="shared" si="92"/>
        <v>1491070.6666666667</v>
      </c>
      <c r="L231" s="189">
        <v>1186974</v>
      </c>
      <c r="M231" s="189">
        <f>L231/7*5</f>
        <v>847838.57142857148</v>
      </c>
      <c r="N231" s="190">
        <v>1203893</v>
      </c>
      <c r="O231" s="190">
        <v>1422000</v>
      </c>
      <c r="P231" s="190">
        <f>M231+L231</f>
        <v>2034812.5714285714</v>
      </c>
      <c r="Q231" s="190">
        <f>O231*1.045+200000</f>
        <v>1685990</v>
      </c>
      <c r="R231" s="190">
        <f>1048102.54*0.98</f>
        <v>1027140.4892000001</v>
      </c>
      <c r="S231" s="190">
        <f t="shared" si="93"/>
        <v>2054280.9784000001</v>
      </c>
      <c r="T231" s="190">
        <f>S231</f>
        <v>2054280.9784000001</v>
      </c>
      <c r="U231" s="190">
        <v>1252921</v>
      </c>
      <c r="V231" s="190">
        <f t="shared" si="91"/>
        <v>1503505.2</v>
      </c>
      <c r="W231" s="190">
        <v>1500000</v>
      </c>
      <c r="X231" s="190">
        <v>1453602</v>
      </c>
      <c r="Y231" s="190">
        <v>1595000</v>
      </c>
      <c r="Z231" s="190">
        <f>337449+73478+119057+21356+231647+151467-454</f>
        <v>934000</v>
      </c>
      <c r="AA231" s="191">
        <v>1450000</v>
      </c>
      <c r="AB231" s="191">
        <v>1450000</v>
      </c>
      <c r="AC231" s="196">
        <v>0.68</v>
      </c>
      <c r="AD231" s="88" t="s">
        <v>699</v>
      </c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</row>
    <row r="232" spans="1:256" ht="30" customHeight="1" x14ac:dyDescent="0.25">
      <c r="A232" s="228">
        <v>813601.78</v>
      </c>
      <c r="B232" s="232" t="s">
        <v>581</v>
      </c>
      <c r="C232" s="202"/>
      <c r="D232" s="187"/>
      <c r="E232" s="202"/>
      <c r="F232" s="202"/>
      <c r="G232" s="189"/>
      <c r="H232" s="204"/>
      <c r="I232" s="188"/>
      <c r="J232" s="189"/>
      <c r="K232" s="189"/>
      <c r="L232" s="189"/>
      <c r="M232" s="189"/>
      <c r="N232" s="189">
        <v>0</v>
      </c>
      <c r="O232" s="188">
        <v>0</v>
      </c>
      <c r="P232" s="188">
        <f t="shared" si="89"/>
        <v>0</v>
      </c>
      <c r="Q232" s="188">
        <v>40000</v>
      </c>
      <c r="R232" s="188">
        <v>19503</v>
      </c>
      <c r="S232" s="188">
        <f t="shared" si="93"/>
        <v>39006</v>
      </c>
      <c r="T232" s="188">
        <f>Q232</f>
        <v>40000</v>
      </c>
      <c r="U232" s="188">
        <v>23233</v>
      </c>
      <c r="V232" s="190">
        <f t="shared" si="91"/>
        <v>27879.599999999999</v>
      </c>
      <c r="W232" s="188">
        <v>30000</v>
      </c>
      <c r="X232" s="188">
        <v>1250</v>
      </c>
      <c r="Y232" s="188">
        <f>X232*12/10</f>
        <v>1500</v>
      </c>
      <c r="Z232" s="188">
        <f>Y232</f>
        <v>1500</v>
      </c>
      <c r="AA232" s="198">
        <v>2000</v>
      </c>
      <c r="AB232" s="198">
        <v>2000</v>
      </c>
      <c r="AC232" s="196"/>
      <c r="AD232" s="88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</row>
    <row r="233" spans="1:256" ht="30" customHeight="1" x14ac:dyDescent="0.25">
      <c r="A233" s="227">
        <v>813605.11</v>
      </c>
      <c r="B233" s="232" t="s">
        <v>515</v>
      </c>
      <c r="C233" s="202"/>
      <c r="D233" s="203"/>
      <c r="E233" s="202"/>
      <c r="F233" s="202"/>
      <c r="G233" s="189"/>
      <c r="H233" s="204"/>
      <c r="I233" s="188"/>
      <c r="J233" s="189"/>
      <c r="K233" s="189"/>
      <c r="L233" s="189"/>
      <c r="M233" s="189"/>
      <c r="N233" s="190"/>
      <c r="O233" s="190"/>
      <c r="P233" s="190">
        <f>M233+L233</f>
        <v>0</v>
      </c>
      <c r="Q233" s="190">
        <v>60000</v>
      </c>
      <c r="R233" s="190">
        <f>27774*0.98</f>
        <v>27218.52</v>
      </c>
      <c r="S233" s="190">
        <f t="shared" si="93"/>
        <v>54437.04</v>
      </c>
      <c r="T233" s="190">
        <f>S233</f>
        <v>54437.04</v>
      </c>
      <c r="U233" s="190">
        <v>51366</v>
      </c>
      <c r="V233" s="190">
        <f t="shared" si="91"/>
        <v>61639.199999999997</v>
      </c>
      <c r="W233" s="190">
        <v>65000</v>
      </c>
      <c r="X233" s="190">
        <v>77108</v>
      </c>
      <c r="Y233" s="190">
        <v>92500</v>
      </c>
      <c r="Z233" s="190">
        <v>100000</v>
      </c>
      <c r="AA233" s="191">
        <v>103000</v>
      </c>
      <c r="AB233" s="191">
        <v>105000</v>
      </c>
      <c r="AC233" s="196">
        <v>1.04</v>
      </c>
      <c r="AD233" s="88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</row>
    <row r="234" spans="1:256" ht="30" customHeight="1" x14ac:dyDescent="0.25">
      <c r="A234" s="228">
        <v>813605.84</v>
      </c>
      <c r="B234" s="232" t="s">
        <v>516</v>
      </c>
      <c r="C234" s="202"/>
      <c r="D234" s="187"/>
      <c r="E234" s="202"/>
      <c r="F234" s="202"/>
      <c r="G234" s="189"/>
      <c r="H234" s="204"/>
      <c r="I234" s="188"/>
      <c r="J234" s="189"/>
      <c r="K234" s="189"/>
      <c r="L234" s="189"/>
      <c r="M234" s="189"/>
      <c r="N234" s="189"/>
      <c r="O234" s="188"/>
      <c r="P234" s="188">
        <f t="shared" si="89"/>
        <v>0</v>
      </c>
      <c r="Q234" s="188">
        <v>45000</v>
      </c>
      <c r="R234" s="188">
        <v>14016</v>
      </c>
      <c r="S234" s="188">
        <f t="shared" si="93"/>
        <v>28032</v>
      </c>
      <c r="T234" s="188">
        <v>30000</v>
      </c>
      <c r="U234" s="188">
        <v>24358</v>
      </c>
      <c r="V234" s="190">
        <f t="shared" si="91"/>
        <v>29229.599999999999</v>
      </c>
      <c r="W234" s="188">
        <v>30000</v>
      </c>
      <c r="X234" s="188">
        <v>700</v>
      </c>
      <c r="Y234" s="188">
        <v>1000</v>
      </c>
      <c r="Z234" s="188">
        <f>Y234</f>
        <v>1000</v>
      </c>
      <c r="AA234" s="198"/>
      <c r="AB234" s="198"/>
      <c r="AC234" s="196"/>
      <c r="AD234" s="88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</row>
    <row r="235" spans="1:256" ht="30" customHeight="1" x14ac:dyDescent="0.25">
      <c r="A235" s="227">
        <v>813700.11</v>
      </c>
      <c r="B235" s="232" t="s">
        <v>92</v>
      </c>
      <c r="C235" s="194">
        <v>160000</v>
      </c>
      <c r="D235" s="187"/>
      <c r="E235" s="202">
        <v>166000</v>
      </c>
      <c r="F235" s="194">
        <v>169000</v>
      </c>
      <c r="G235" s="189">
        <v>266270</v>
      </c>
      <c r="H235" s="195">
        <v>136296</v>
      </c>
      <c r="I235" s="188">
        <v>226711</v>
      </c>
      <c r="J235" s="189"/>
      <c r="K235" s="189">
        <f t="shared" si="92"/>
        <v>302281.33333333331</v>
      </c>
      <c r="L235" s="189">
        <v>182143</v>
      </c>
      <c r="M235" s="189">
        <f>L235/7*5</f>
        <v>130102.14285714287</v>
      </c>
      <c r="N235" s="190">
        <v>286212</v>
      </c>
      <c r="O235" s="190">
        <v>294100</v>
      </c>
      <c r="P235" s="190">
        <f>M235+L235</f>
        <v>312245.14285714284</v>
      </c>
      <c r="Q235" s="190">
        <f>O235*1.045</f>
        <v>307334.5</v>
      </c>
      <c r="R235" s="190">
        <f>176904*0.98</f>
        <v>173365.91999999998</v>
      </c>
      <c r="S235" s="190">
        <f t="shared" si="93"/>
        <v>346731.83999999997</v>
      </c>
      <c r="T235" s="190">
        <f>S235</f>
        <v>346731.83999999997</v>
      </c>
      <c r="U235" s="190">
        <v>292455</v>
      </c>
      <c r="V235" s="190">
        <f t="shared" si="91"/>
        <v>350946</v>
      </c>
      <c r="W235" s="190">
        <v>380000</v>
      </c>
      <c r="X235" s="190">
        <v>278683</v>
      </c>
      <c r="Y235" s="190">
        <v>330000</v>
      </c>
      <c r="Z235" s="190">
        <v>325000</v>
      </c>
      <c r="AA235" s="191">
        <v>352000</v>
      </c>
      <c r="AB235" s="191">
        <v>339000</v>
      </c>
      <c r="AC235" s="196">
        <v>3.2</v>
      </c>
      <c r="AD235" s="88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</row>
    <row r="236" spans="1:256" ht="30" customHeight="1" x14ac:dyDescent="0.25">
      <c r="A236" s="229">
        <v>813700.41</v>
      </c>
      <c r="B236" s="232" t="s">
        <v>93</v>
      </c>
      <c r="C236" s="194">
        <v>1000</v>
      </c>
      <c r="D236" s="187"/>
      <c r="E236" s="202">
        <v>0</v>
      </c>
      <c r="F236" s="194">
        <v>1000</v>
      </c>
      <c r="G236" s="189">
        <v>0</v>
      </c>
      <c r="H236" s="195">
        <v>0</v>
      </c>
      <c r="I236" s="188"/>
      <c r="J236" s="189"/>
      <c r="K236" s="189">
        <f t="shared" si="92"/>
        <v>0</v>
      </c>
      <c r="L236" s="189">
        <v>0</v>
      </c>
      <c r="M236" s="189">
        <f t="shared" ref="M236:M241" si="94">L236/8*4</f>
        <v>0</v>
      </c>
      <c r="N236" s="189">
        <v>0</v>
      </c>
      <c r="O236" s="188">
        <v>13500</v>
      </c>
      <c r="P236" s="188">
        <f t="shared" si="89"/>
        <v>0</v>
      </c>
      <c r="Q236" s="188">
        <f t="shared" ref="Q236:Q240" si="95">O236</f>
        <v>13500</v>
      </c>
      <c r="R236" s="188">
        <v>4500</v>
      </c>
      <c r="S236" s="188">
        <f t="shared" ref="S236:S241" si="96">R236*2</f>
        <v>9000</v>
      </c>
      <c r="T236" s="188">
        <f t="shared" ref="T236:T240" si="97">Q236</f>
        <v>13500</v>
      </c>
      <c r="U236" s="188">
        <v>13500</v>
      </c>
      <c r="V236" s="190">
        <f t="shared" si="91"/>
        <v>16200</v>
      </c>
      <c r="W236" s="188">
        <v>20000</v>
      </c>
      <c r="X236" s="188">
        <v>9000</v>
      </c>
      <c r="Y236" s="188">
        <f>X236*12/10</f>
        <v>10800</v>
      </c>
      <c r="Z236" s="188">
        <f t="shared" ref="Z236:Z242" si="98">Y236</f>
        <v>10800</v>
      </c>
      <c r="AA236" s="198">
        <v>20000</v>
      </c>
      <c r="AB236" s="198">
        <v>20000</v>
      </c>
      <c r="AC236" s="196"/>
      <c r="AD236" s="88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</row>
    <row r="237" spans="1:256" ht="30" customHeight="1" x14ac:dyDescent="0.25">
      <c r="A237" s="229">
        <v>813700.43200000003</v>
      </c>
      <c r="B237" s="232" t="s">
        <v>251</v>
      </c>
      <c r="C237" s="194">
        <v>18000</v>
      </c>
      <c r="D237" s="187"/>
      <c r="E237" s="202">
        <v>6654</v>
      </c>
      <c r="F237" s="194">
        <v>9000</v>
      </c>
      <c r="G237" s="189">
        <v>2500</v>
      </c>
      <c r="H237" s="195">
        <v>0</v>
      </c>
      <c r="I237" s="188">
        <v>10672</v>
      </c>
      <c r="J237" s="189"/>
      <c r="K237" s="189">
        <f t="shared" si="92"/>
        <v>14229.333333333334</v>
      </c>
      <c r="L237" s="189">
        <v>0</v>
      </c>
      <c r="M237" s="189">
        <f t="shared" si="94"/>
        <v>0</v>
      </c>
      <c r="N237" s="189">
        <v>14000</v>
      </c>
      <c r="O237" s="188">
        <v>25000</v>
      </c>
      <c r="P237" s="188">
        <f t="shared" si="89"/>
        <v>0</v>
      </c>
      <c r="Q237" s="188">
        <f t="shared" si="95"/>
        <v>25000</v>
      </c>
      <c r="R237" s="188">
        <v>14489</v>
      </c>
      <c r="S237" s="188">
        <f t="shared" si="96"/>
        <v>28978</v>
      </c>
      <c r="T237" s="188">
        <v>28978</v>
      </c>
      <c r="U237" s="188">
        <v>22203</v>
      </c>
      <c r="V237" s="190">
        <f t="shared" si="91"/>
        <v>26643.599999999999</v>
      </c>
      <c r="W237" s="188">
        <v>30000</v>
      </c>
      <c r="X237" s="188">
        <v>70262</v>
      </c>
      <c r="Y237" s="188">
        <v>84000</v>
      </c>
      <c r="Z237" s="188">
        <f t="shared" si="98"/>
        <v>84000</v>
      </c>
      <c r="AA237" s="198">
        <v>12000</v>
      </c>
      <c r="AB237" s="198">
        <v>12000</v>
      </c>
      <c r="AC237" s="196"/>
      <c r="AD237" s="88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</row>
    <row r="238" spans="1:256" ht="30" customHeight="1" x14ac:dyDescent="0.25">
      <c r="A238" s="229">
        <v>813700.54</v>
      </c>
      <c r="B238" s="232" t="s">
        <v>94</v>
      </c>
      <c r="C238" s="194">
        <v>1000</v>
      </c>
      <c r="D238" s="187"/>
      <c r="E238" s="202">
        <v>3000</v>
      </c>
      <c r="F238" s="194">
        <v>3000</v>
      </c>
      <c r="G238" s="189">
        <v>3000</v>
      </c>
      <c r="H238" s="195">
        <v>1854</v>
      </c>
      <c r="I238" s="188">
        <v>1440</v>
      </c>
      <c r="J238" s="189"/>
      <c r="K238" s="189">
        <f t="shared" si="92"/>
        <v>1920</v>
      </c>
      <c r="L238" s="189">
        <v>804</v>
      </c>
      <c r="M238" s="189">
        <f t="shared" si="94"/>
        <v>402</v>
      </c>
      <c r="N238" s="189">
        <v>2000</v>
      </c>
      <c r="O238" s="188">
        <v>2000</v>
      </c>
      <c r="P238" s="188">
        <f t="shared" si="89"/>
        <v>1206</v>
      </c>
      <c r="Q238" s="188">
        <f t="shared" si="95"/>
        <v>2000</v>
      </c>
      <c r="R238" s="188">
        <v>568</v>
      </c>
      <c r="S238" s="188">
        <f t="shared" si="96"/>
        <v>1136</v>
      </c>
      <c r="T238" s="188">
        <f t="shared" si="97"/>
        <v>2000</v>
      </c>
      <c r="U238" s="188">
        <v>1013</v>
      </c>
      <c r="V238" s="190">
        <f t="shared" si="91"/>
        <v>1215.5999999999999</v>
      </c>
      <c r="W238" s="188">
        <v>2000</v>
      </c>
      <c r="X238" s="188">
        <v>1253</v>
      </c>
      <c r="Y238" s="188">
        <v>2000</v>
      </c>
      <c r="Z238" s="188">
        <f t="shared" si="98"/>
        <v>2000</v>
      </c>
      <c r="AA238" s="198">
        <v>4000</v>
      </c>
      <c r="AB238" s="198">
        <v>4000</v>
      </c>
      <c r="AC238" s="196"/>
      <c r="AD238" s="88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</row>
    <row r="239" spans="1:256" ht="30" customHeight="1" x14ac:dyDescent="0.25">
      <c r="A239" s="229">
        <v>813700.72</v>
      </c>
      <c r="B239" s="232" t="s">
        <v>95</v>
      </c>
      <c r="C239" s="194">
        <v>5000</v>
      </c>
      <c r="D239" s="187"/>
      <c r="E239" s="202">
        <v>74841</v>
      </c>
      <c r="F239" s="194">
        <v>35000</v>
      </c>
      <c r="G239" s="189">
        <v>55000</v>
      </c>
      <c r="H239" s="195">
        <v>40240</v>
      </c>
      <c r="I239" s="188">
        <v>34011</v>
      </c>
      <c r="J239" s="189"/>
      <c r="K239" s="189">
        <f t="shared" si="92"/>
        <v>45348</v>
      </c>
      <c r="L239" s="189">
        <v>34339</v>
      </c>
      <c r="M239" s="189">
        <f t="shared" si="94"/>
        <v>17169.5</v>
      </c>
      <c r="N239" s="189">
        <v>45000</v>
      </c>
      <c r="O239" s="188">
        <v>45000</v>
      </c>
      <c r="P239" s="188">
        <f t="shared" si="89"/>
        <v>51508.5</v>
      </c>
      <c r="Q239" s="188">
        <f t="shared" si="95"/>
        <v>45000</v>
      </c>
      <c r="R239" s="188">
        <v>9847</v>
      </c>
      <c r="S239" s="188">
        <f t="shared" si="96"/>
        <v>19694</v>
      </c>
      <c r="T239" s="188">
        <f t="shared" si="97"/>
        <v>45000</v>
      </c>
      <c r="U239" s="188">
        <v>15131</v>
      </c>
      <c r="V239" s="190">
        <f t="shared" si="91"/>
        <v>18157.2</v>
      </c>
      <c r="W239" s="188">
        <v>40000</v>
      </c>
      <c r="X239" s="188">
        <v>31509</v>
      </c>
      <c r="Y239" s="188">
        <v>38000</v>
      </c>
      <c r="Z239" s="188">
        <f t="shared" si="98"/>
        <v>38000</v>
      </c>
      <c r="AA239" s="198">
        <v>7000</v>
      </c>
      <c r="AB239" s="198">
        <v>7000</v>
      </c>
      <c r="AC239" s="196"/>
      <c r="AD239" s="88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</row>
    <row r="240" spans="1:256" ht="30" customHeight="1" x14ac:dyDescent="0.25">
      <c r="A240" s="229">
        <v>813700.75</v>
      </c>
      <c r="B240" s="232" t="s">
        <v>217</v>
      </c>
      <c r="C240" s="194">
        <v>1000</v>
      </c>
      <c r="D240" s="187"/>
      <c r="E240" s="202">
        <v>11766</v>
      </c>
      <c r="F240" s="194">
        <v>1000</v>
      </c>
      <c r="G240" s="188">
        <v>5000</v>
      </c>
      <c r="H240" s="195">
        <v>3480</v>
      </c>
      <c r="I240" s="188">
        <v>13905</v>
      </c>
      <c r="J240" s="189"/>
      <c r="K240" s="189">
        <f t="shared" si="92"/>
        <v>18540</v>
      </c>
      <c r="L240" s="189">
        <v>18984</v>
      </c>
      <c r="M240" s="189">
        <f t="shared" si="94"/>
        <v>9492</v>
      </c>
      <c r="N240" s="188">
        <v>18000</v>
      </c>
      <c r="O240" s="188">
        <v>18000</v>
      </c>
      <c r="P240" s="188">
        <f t="shared" si="89"/>
        <v>28476</v>
      </c>
      <c r="Q240" s="188">
        <f t="shared" si="95"/>
        <v>18000</v>
      </c>
      <c r="R240" s="188">
        <v>2000</v>
      </c>
      <c r="S240" s="188">
        <f t="shared" si="96"/>
        <v>4000</v>
      </c>
      <c r="T240" s="188">
        <f t="shared" si="97"/>
        <v>18000</v>
      </c>
      <c r="U240" s="188">
        <v>6199</v>
      </c>
      <c r="V240" s="190">
        <f t="shared" si="91"/>
        <v>7438.8</v>
      </c>
      <c r="W240" s="188">
        <v>18000</v>
      </c>
      <c r="X240" s="188"/>
      <c r="Y240" s="188"/>
      <c r="Z240" s="188">
        <v>10000</v>
      </c>
      <c r="AA240" s="198">
        <v>26000</v>
      </c>
      <c r="AB240" s="198">
        <v>26000</v>
      </c>
      <c r="AC240" s="196"/>
      <c r="AD240" s="88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</row>
    <row r="241" spans="1:256" ht="30" customHeight="1" x14ac:dyDescent="0.25">
      <c r="A241" s="229">
        <v>813700.78</v>
      </c>
      <c r="B241" s="232" t="s">
        <v>96</v>
      </c>
      <c r="C241" s="194">
        <v>18000</v>
      </c>
      <c r="D241" s="187"/>
      <c r="E241" s="202">
        <v>275211</v>
      </c>
      <c r="F241" s="194">
        <v>95000</v>
      </c>
      <c r="G241" s="188">
        <v>10000</v>
      </c>
      <c r="H241" s="195">
        <v>7600</v>
      </c>
      <c r="I241" s="188">
        <v>11963</v>
      </c>
      <c r="J241" s="189"/>
      <c r="K241" s="189">
        <f t="shared" si="92"/>
        <v>15950.666666666666</v>
      </c>
      <c r="L241" s="189">
        <v>14229</v>
      </c>
      <c r="M241" s="189">
        <f t="shared" si="94"/>
        <v>7114.5</v>
      </c>
      <c r="N241" s="188">
        <v>16000</v>
      </c>
      <c r="O241" s="188">
        <v>16000</v>
      </c>
      <c r="P241" s="188">
        <f t="shared" si="89"/>
        <v>21343.5</v>
      </c>
      <c r="Q241" s="188">
        <v>30000</v>
      </c>
      <c r="R241" s="188">
        <v>20971</v>
      </c>
      <c r="S241" s="188">
        <f t="shared" si="96"/>
        <v>41942</v>
      </c>
      <c r="T241" s="188">
        <v>41942</v>
      </c>
      <c r="U241" s="188">
        <v>34935</v>
      </c>
      <c r="V241" s="190">
        <f t="shared" si="91"/>
        <v>41922</v>
      </c>
      <c r="W241" s="188">
        <v>20000</v>
      </c>
      <c r="X241" s="188">
        <v>11544</v>
      </c>
      <c r="Y241" s="188">
        <v>14000</v>
      </c>
      <c r="Z241" s="188">
        <f t="shared" si="98"/>
        <v>14000</v>
      </c>
      <c r="AA241" s="198">
        <v>10000</v>
      </c>
      <c r="AB241" s="198">
        <v>10000</v>
      </c>
      <c r="AC241" s="196"/>
      <c r="AD241" s="88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</row>
    <row r="242" spans="1:256" ht="30" customHeight="1" x14ac:dyDescent="0.25">
      <c r="A242" s="229">
        <v>813800.78</v>
      </c>
      <c r="B242" s="232" t="s">
        <v>646</v>
      </c>
      <c r="C242" s="194"/>
      <c r="D242" s="187"/>
      <c r="E242" s="202"/>
      <c r="F242" s="194"/>
      <c r="G242" s="188"/>
      <c r="H242" s="195"/>
      <c r="I242" s="188"/>
      <c r="J242" s="189"/>
      <c r="K242" s="189"/>
      <c r="L242" s="189"/>
      <c r="M242" s="189"/>
      <c r="N242" s="188"/>
      <c r="O242" s="188"/>
      <c r="P242" s="188"/>
      <c r="Q242" s="188"/>
      <c r="R242" s="188"/>
      <c r="S242" s="188"/>
      <c r="T242" s="188"/>
      <c r="U242" s="188"/>
      <c r="V242" s="190"/>
      <c r="W242" s="188"/>
      <c r="X242" s="188">
        <v>1268420</v>
      </c>
      <c r="Y242" s="188">
        <v>1268000</v>
      </c>
      <c r="Z242" s="188">
        <f t="shared" si="98"/>
        <v>1268000</v>
      </c>
      <c r="AA242" s="198">
        <v>850000</v>
      </c>
      <c r="AB242" s="205">
        <v>850000</v>
      </c>
      <c r="AC242" s="196"/>
      <c r="AD242" s="88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</row>
    <row r="243" spans="1:256" ht="30" customHeight="1" x14ac:dyDescent="0.25">
      <c r="A243" s="230"/>
      <c r="B243" s="275" t="s">
        <v>5</v>
      </c>
      <c r="C243" s="211">
        <f t="shared" ref="C243:AC243" si="99">SUM(C193:C242)</f>
        <v>6055000</v>
      </c>
      <c r="D243" s="211">
        <f t="shared" si="99"/>
        <v>0</v>
      </c>
      <c r="E243" s="211">
        <f t="shared" si="99"/>
        <v>7218184</v>
      </c>
      <c r="F243" s="211">
        <f t="shared" si="99"/>
        <v>6995000</v>
      </c>
      <c r="G243" s="212">
        <f t="shared" si="99"/>
        <v>7559985</v>
      </c>
      <c r="H243" s="212">
        <f t="shared" si="99"/>
        <v>5305637</v>
      </c>
      <c r="I243" s="212">
        <f t="shared" si="99"/>
        <v>6468790</v>
      </c>
      <c r="J243" s="213">
        <f t="shared" si="99"/>
        <v>0</v>
      </c>
      <c r="K243" s="213">
        <f t="shared" si="99"/>
        <v>8625053.333333334</v>
      </c>
      <c r="L243" s="213">
        <f t="shared" si="99"/>
        <v>5761486</v>
      </c>
      <c r="M243" s="213">
        <f t="shared" si="99"/>
        <v>4126824.7857142859</v>
      </c>
      <c r="N243" s="212">
        <f t="shared" si="99"/>
        <v>8023769</v>
      </c>
      <c r="O243" s="212">
        <f t="shared" si="99"/>
        <v>8612400</v>
      </c>
      <c r="P243" s="212">
        <f t="shared" si="99"/>
        <v>9888310.7857142854</v>
      </c>
      <c r="Q243" s="212">
        <f t="shared" si="99"/>
        <v>12016286.4</v>
      </c>
      <c r="R243" s="212">
        <f t="shared" si="99"/>
        <v>6183410.9751999993</v>
      </c>
      <c r="S243" s="212">
        <f t="shared" si="99"/>
        <v>13078851.750399999</v>
      </c>
      <c r="T243" s="212">
        <f t="shared" si="99"/>
        <v>13306483.750399999</v>
      </c>
      <c r="U243" s="212">
        <f t="shared" si="99"/>
        <v>10594207</v>
      </c>
      <c r="V243" s="212">
        <f t="shared" si="99"/>
        <v>12713048.399999999</v>
      </c>
      <c r="W243" s="212">
        <f t="shared" si="99"/>
        <v>12792895</v>
      </c>
      <c r="X243" s="212">
        <f t="shared" si="99"/>
        <v>12482136.666666666</v>
      </c>
      <c r="Y243" s="212">
        <f t="shared" si="99"/>
        <v>14762800</v>
      </c>
      <c r="Z243" s="212">
        <f t="shared" si="99"/>
        <v>14591300</v>
      </c>
      <c r="AA243" s="211">
        <f t="shared" si="99"/>
        <v>16122000</v>
      </c>
      <c r="AB243" s="211">
        <f t="shared" si="99"/>
        <v>16739000</v>
      </c>
      <c r="AC243" s="212">
        <f t="shared" si="99"/>
        <v>91.18</v>
      </c>
      <c r="AD243" s="88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</row>
    <row r="244" spans="1:256" ht="30" customHeight="1" x14ac:dyDescent="0.25">
      <c r="A244" s="228"/>
      <c r="B244" s="232"/>
      <c r="C244" s="202"/>
      <c r="D244" s="187"/>
      <c r="E244" s="202"/>
      <c r="F244" s="202"/>
      <c r="G244" s="188"/>
      <c r="H244" s="204"/>
      <c r="I244" s="188"/>
      <c r="J244" s="189"/>
      <c r="K244" s="189"/>
      <c r="L244" s="189"/>
      <c r="M244" s="189"/>
      <c r="N244" s="188"/>
      <c r="O244" s="188"/>
      <c r="P244" s="188"/>
      <c r="Q244" s="188"/>
      <c r="R244" s="188"/>
      <c r="S244" s="188"/>
      <c r="T244" s="188"/>
      <c r="U244" s="188"/>
      <c r="V244" s="190"/>
      <c r="W244" s="188"/>
      <c r="X244" s="188"/>
      <c r="Y244" s="188"/>
      <c r="Z244" s="188"/>
      <c r="AA244" s="198"/>
      <c r="AB244" s="198"/>
      <c r="AC244" s="231"/>
      <c r="AD244" s="88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</row>
    <row r="245" spans="1:256" ht="30" customHeight="1" x14ac:dyDescent="0.25">
      <c r="A245" s="229">
        <v>814000.42099999997</v>
      </c>
      <c r="B245" s="232" t="s">
        <v>98</v>
      </c>
      <c r="C245" s="194">
        <v>150000</v>
      </c>
      <c r="D245" s="187"/>
      <c r="E245" s="202">
        <v>57600</v>
      </c>
      <c r="F245" s="194">
        <v>120000</v>
      </c>
      <c r="G245" s="188">
        <v>45000</v>
      </c>
      <c r="H245" s="195">
        <v>33466</v>
      </c>
      <c r="I245" s="188">
        <v>29233</v>
      </c>
      <c r="J245" s="189"/>
      <c r="K245" s="189">
        <f t="shared" si="92"/>
        <v>38977.333333333336</v>
      </c>
      <c r="L245" s="189">
        <v>31316</v>
      </c>
      <c r="M245" s="189">
        <f t="shared" ref="M245:M303" si="100">L245/8*4</f>
        <v>15658</v>
      </c>
      <c r="N245" s="188">
        <v>45000</v>
      </c>
      <c r="O245" s="188">
        <v>34200</v>
      </c>
      <c r="P245" s="188">
        <f t="shared" ref="P245:P253" si="101">L245+M245</f>
        <v>46974</v>
      </c>
      <c r="Q245" s="188">
        <v>34200</v>
      </c>
      <c r="R245" s="188">
        <v>14689</v>
      </c>
      <c r="S245" s="188">
        <f t="shared" ref="S245:S253" si="102">R245*2</f>
        <v>29378</v>
      </c>
      <c r="T245" s="188">
        <f t="shared" ref="T245:T253" si="103">Q245</f>
        <v>34200</v>
      </c>
      <c r="U245" s="188">
        <f>39104+229</f>
        <v>39333</v>
      </c>
      <c r="V245" s="190">
        <f t="shared" si="91"/>
        <v>47199.6</v>
      </c>
      <c r="W245" s="188">
        <v>35000</v>
      </c>
      <c r="X245" s="188">
        <v>28709</v>
      </c>
      <c r="Y245" s="188">
        <v>34400</v>
      </c>
      <c r="Z245" s="188">
        <v>100000</v>
      </c>
      <c r="AA245" s="198">
        <v>238000</v>
      </c>
      <c r="AB245" s="198">
        <v>238000</v>
      </c>
      <c r="AC245" s="196"/>
      <c r="AD245" s="88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</row>
    <row r="246" spans="1:256" ht="30" customHeight="1" x14ac:dyDescent="0.25">
      <c r="A246" s="229">
        <v>814000.43099999998</v>
      </c>
      <c r="B246" s="232" t="s">
        <v>99</v>
      </c>
      <c r="C246" s="194">
        <v>6000</v>
      </c>
      <c r="D246" s="187"/>
      <c r="E246" s="202">
        <v>1000</v>
      </c>
      <c r="F246" s="194">
        <v>3000</v>
      </c>
      <c r="G246" s="188">
        <v>100000</v>
      </c>
      <c r="H246" s="195">
        <v>0</v>
      </c>
      <c r="I246" s="188">
        <v>15119</v>
      </c>
      <c r="J246" s="189"/>
      <c r="K246" s="189">
        <f t="shared" si="92"/>
        <v>20158.666666666668</v>
      </c>
      <c r="L246" s="189">
        <v>45317</v>
      </c>
      <c r="M246" s="189">
        <f t="shared" si="100"/>
        <v>22658.5</v>
      </c>
      <c r="N246" s="188">
        <v>20000</v>
      </c>
      <c r="O246" s="188">
        <v>82500</v>
      </c>
      <c r="P246" s="188">
        <f t="shared" si="101"/>
        <v>67975.5</v>
      </c>
      <c r="Q246" s="188">
        <v>100000</v>
      </c>
      <c r="R246" s="188">
        <v>85851</v>
      </c>
      <c r="S246" s="188">
        <f t="shared" si="102"/>
        <v>171702</v>
      </c>
      <c r="T246" s="188">
        <v>171702</v>
      </c>
      <c r="U246" s="188">
        <v>149313</v>
      </c>
      <c r="V246" s="190">
        <f t="shared" si="91"/>
        <v>179175.6</v>
      </c>
      <c r="W246" s="188">
        <v>200000</v>
      </c>
      <c r="X246" s="188">
        <v>205253</v>
      </c>
      <c r="Y246" s="188">
        <v>205000</v>
      </c>
      <c r="Z246" s="188"/>
      <c r="AA246" s="198">
        <v>150000</v>
      </c>
      <c r="AB246" s="198">
        <v>150000</v>
      </c>
      <c r="AC246" s="196"/>
      <c r="AD246" s="88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</row>
    <row r="247" spans="1:256" ht="30" customHeight="1" x14ac:dyDescent="0.25">
      <c r="A247" s="229">
        <v>814000.43200000003</v>
      </c>
      <c r="B247" s="232" t="s">
        <v>100</v>
      </c>
      <c r="C247" s="194">
        <v>1000</v>
      </c>
      <c r="D247" s="187"/>
      <c r="E247" s="202">
        <v>9000</v>
      </c>
      <c r="F247" s="194">
        <v>1000</v>
      </c>
      <c r="G247" s="188">
        <v>50000</v>
      </c>
      <c r="H247" s="195">
        <v>4239</v>
      </c>
      <c r="I247" s="188">
        <v>44382</v>
      </c>
      <c r="J247" s="189"/>
      <c r="K247" s="189">
        <f t="shared" si="92"/>
        <v>59176</v>
      </c>
      <c r="L247" s="189">
        <v>0</v>
      </c>
      <c r="M247" s="189">
        <f t="shared" si="100"/>
        <v>0</v>
      </c>
      <c r="N247" s="188">
        <v>60000</v>
      </c>
      <c r="O247" s="188">
        <v>60000</v>
      </c>
      <c r="P247" s="188">
        <f t="shared" si="101"/>
        <v>0</v>
      </c>
      <c r="Q247" s="188">
        <v>70000</v>
      </c>
      <c r="R247" s="188">
        <v>29132</v>
      </c>
      <c r="S247" s="188">
        <f t="shared" si="102"/>
        <v>58264</v>
      </c>
      <c r="T247" s="188">
        <f t="shared" si="103"/>
        <v>70000</v>
      </c>
      <c r="U247" s="188">
        <v>24122</v>
      </c>
      <c r="V247" s="190">
        <f t="shared" si="91"/>
        <v>28946.400000000001</v>
      </c>
      <c r="W247" s="188">
        <v>40000</v>
      </c>
      <c r="X247" s="188">
        <v>16884</v>
      </c>
      <c r="Y247" s="188">
        <v>20000</v>
      </c>
      <c r="Z247" s="188"/>
      <c r="AA247" s="198">
        <v>72000</v>
      </c>
      <c r="AB247" s="198">
        <v>0</v>
      </c>
      <c r="AC247" s="196"/>
      <c r="AD247" s="88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</row>
    <row r="248" spans="1:256" ht="30" customHeight="1" x14ac:dyDescent="0.25">
      <c r="A248" s="229">
        <v>814000.44</v>
      </c>
      <c r="B248" s="232" t="s">
        <v>101</v>
      </c>
      <c r="C248" s="194">
        <v>45000</v>
      </c>
      <c r="D248" s="187"/>
      <c r="E248" s="202">
        <v>73400</v>
      </c>
      <c r="F248" s="194">
        <v>45000</v>
      </c>
      <c r="G248" s="188">
        <v>34000</v>
      </c>
      <c r="H248" s="195">
        <v>24850</v>
      </c>
      <c r="I248" s="188">
        <v>38668</v>
      </c>
      <c r="J248" s="189"/>
      <c r="K248" s="189">
        <f t="shared" si="92"/>
        <v>51557.333333333336</v>
      </c>
      <c r="L248" s="189">
        <v>62363</v>
      </c>
      <c r="M248" s="189">
        <v>63363</v>
      </c>
      <c r="N248" s="188">
        <v>38000</v>
      </c>
      <c r="O248" s="188">
        <v>74700</v>
      </c>
      <c r="P248" s="188">
        <f t="shared" si="101"/>
        <v>125726</v>
      </c>
      <c r="Q248" s="188">
        <v>84700</v>
      </c>
      <c r="R248" s="188">
        <v>60588</v>
      </c>
      <c r="S248" s="188">
        <f t="shared" si="102"/>
        <v>121176</v>
      </c>
      <c r="T248" s="188">
        <v>121176</v>
      </c>
      <c r="U248" s="188">
        <v>47802</v>
      </c>
      <c r="V248" s="190">
        <f t="shared" si="91"/>
        <v>57362.400000000001</v>
      </c>
      <c r="W248" s="188">
        <v>67000</v>
      </c>
      <c r="X248" s="188">
        <v>51711</v>
      </c>
      <c r="Y248" s="188">
        <v>62000</v>
      </c>
      <c r="Z248" s="188"/>
      <c r="AA248" s="198">
        <v>68000</v>
      </c>
      <c r="AB248" s="198">
        <v>70000</v>
      </c>
      <c r="AC248" s="196"/>
      <c r="AD248" s="88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</row>
    <row r="249" spans="1:256" ht="30" customHeight="1" x14ac:dyDescent="0.25">
      <c r="A249" s="229">
        <v>814000.54</v>
      </c>
      <c r="B249" s="232" t="s">
        <v>102</v>
      </c>
      <c r="C249" s="194">
        <v>1000</v>
      </c>
      <c r="D249" s="187"/>
      <c r="E249" s="202">
        <v>8000</v>
      </c>
      <c r="F249" s="194">
        <v>4500</v>
      </c>
      <c r="G249" s="188">
        <v>30000</v>
      </c>
      <c r="H249" s="195">
        <v>4000</v>
      </c>
      <c r="I249" s="188">
        <v>11222</v>
      </c>
      <c r="J249" s="189"/>
      <c r="K249" s="189">
        <f t="shared" si="92"/>
        <v>14962.666666666666</v>
      </c>
      <c r="L249" s="189">
        <v>12388</v>
      </c>
      <c r="M249" s="189">
        <f t="shared" si="100"/>
        <v>6194</v>
      </c>
      <c r="N249" s="188">
        <v>15000</v>
      </c>
      <c r="O249" s="188">
        <v>15000</v>
      </c>
      <c r="P249" s="188">
        <f t="shared" si="101"/>
        <v>18582</v>
      </c>
      <c r="Q249" s="188">
        <v>30000</v>
      </c>
      <c r="R249" s="188">
        <v>12000</v>
      </c>
      <c r="S249" s="188">
        <f t="shared" si="102"/>
        <v>24000</v>
      </c>
      <c r="T249" s="188">
        <v>24000</v>
      </c>
      <c r="U249" s="188">
        <v>13946</v>
      </c>
      <c r="V249" s="190">
        <f t="shared" si="91"/>
        <v>16735.2</v>
      </c>
      <c r="W249" s="188">
        <v>19000</v>
      </c>
      <c r="X249" s="188">
        <v>18859</v>
      </c>
      <c r="Y249" s="188">
        <v>22600</v>
      </c>
      <c r="Z249" s="188"/>
      <c r="AA249" s="198">
        <v>3000</v>
      </c>
      <c r="AB249" s="198">
        <v>4000</v>
      </c>
      <c r="AC249" s="196"/>
      <c r="AD249" s="88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</row>
    <row r="250" spans="1:256" ht="30" customHeight="1" x14ac:dyDescent="0.25">
      <c r="A250" s="229">
        <v>814000.56</v>
      </c>
      <c r="B250" s="232" t="s">
        <v>103</v>
      </c>
      <c r="C250" s="194">
        <v>32000</v>
      </c>
      <c r="D250" s="187"/>
      <c r="E250" s="202">
        <v>9135</v>
      </c>
      <c r="F250" s="194">
        <v>12000</v>
      </c>
      <c r="G250" s="188">
        <v>50000</v>
      </c>
      <c r="H250" s="195">
        <v>4014</v>
      </c>
      <c r="I250" s="188">
        <v>58699</v>
      </c>
      <c r="J250" s="189"/>
      <c r="K250" s="189">
        <f t="shared" si="92"/>
        <v>78265.333333333328</v>
      </c>
      <c r="L250" s="189">
        <v>51851</v>
      </c>
      <c r="M250" s="189">
        <f t="shared" si="100"/>
        <v>25925.5</v>
      </c>
      <c r="N250" s="188">
        <v>78000</v>
      </c>
      <c r="O250" s="188">
        <v>70800</v>
      </c>
      <c r="P250" s="188">
        <f t="shared" si="101"/>
        <v>77776.5</v>
      </c>
      <c r="Q250" s="188">
        <v>95000</v>
      </c>
      <c r="R250" s="188">
        <v>56070</v>
      </c>
      <c r="S250" s="188">
        <f t="shared" si="102"/>
        <v>112140</v>
      </c>
      <c r="T250" s="188">
        <v>112140</v>
      </c>
      <c r="U250" s="188">
        <v>112788</v>
      </c>
      <c r="V250" s="190">
        <f t="shared" si="91"/>
        <v>135345.60000000001</v>
      </c>
      <c r="W250" s="188">
        <v>115000</v>
      </c>
      <c r="X250" s="188">
        <v>80765</v>
      </c>
      <c r="Y250" s="188">
        <v>115000</v>
      </c>
      <c r="Z250" s="188"/>
      <c r="AA250" s="198">
        <v>10000</v>
      </c>
      <c r="AB250" s="198">
        <v>0</v>
      </c>
      <c r="AC250" s="196"/>
      <c r="AD250" s="88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</row>
    <row r="251" spans="1:256" ht="30" customHeight="1" x14ac:dyDescent="0.25">
      <c r="A251" s="229">
        <v>814000.72</v>
      </c>
      <c r="B251" s="232" t="s">
        <v>104</v>
      </c>
      <c r="C251" s="194">
        <v>2000</v>
      </c>
      <c r="D251" s="187"/>
      <c r="E251" s="202">
        <v>1000</v>
      </c>
      <c r="F251" s="194">
        <v>2000</v>
      </c>
      <c r="G251" s="188">
        <v>30000</v>
      </c>
      <c r="H251" s="195">
        <v>4851</v>
      </c>
      <c r="I251" s="188">
        <v>32260</v>
      </c>
      <c r="J251" s="189"/>
      <c r="K251" s="189">
        <f t="shared" si="92"/>
        <v>43013.333333333336</v>
      </c>
      <c r="L251" s="189">
        <v>25211</v>
      </c>
      <c r="M251" s="189">
        <f t="shared" si="100"/>
        <v>12605.5</v>
      </c>
      <c r="N251" s="188">
        <v>40000</v>
      </c>
      <c r="O251" s="188">
        <v>40000</v>
      </c>
      <c r="P251" s="188">
        <f t="shared" si="101"/>
        <v>37816.5</v>
      </c>
      <c r="Q251" s="188">
        <v>80000</v>
      </c>
      <c r="R251" s="188">
        <v>60000</v>
      </c>
      <c r="S251" s="188">
        <f t="shared" si="102"/>
        <v>120000</v>
      </c>
      <c r="T251" s="188">
        <v>120000</v>
      </c>
      <c r="U251" s="188">
        <v>107470</v>
      </c>
      <c r="V251" s="190">
        <f t="shared" si="91"/>
        <v>128964</v>
      </c>
      <c r="W251" s="188">
        <v>50000</v>
      </c>
      <c r="X251" s="188">
        <v>44609</v>
      </c>
      <c r="Y251" s="188">
        <v>53000</v>
      </c>
      <c r="Z251" s="188"/>
      <c r="AA251" s="198">
        <v>51000</v>
      </c>
      <c r="AB251" s="198">
        <v>0</v>
      </c>
      <c r="AC251" s="196"/>
      <c r="AD251" s="88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</row>
    <row r="252" spans="1:256" ht="30" customHeight="1" x14ac:dyDescent="0.25">
      <c r="A252" s="229">
        <v>814000.75</v>
      </c>
      <c r="B252" s="232" t="s">
        <v>105</v>
      </c>
      <c r="C252" s="194">
        <v>1000</v>
      </c>
      <c r="D252" s="187"/>
      <c r="E252" s="202">
        <v>3000</v>
      </c>
      <c r="F252" s="194">
        <v>3000</v>
      </c>
      <c r="G252" s="199">
        <f>30000+20000</f>
        <v>50000</v>
      </c>
      <c r="H252" s="195">
        <v>0</v>
      </c>
      <c r="I252" s="188">
        <v>37033</v>
      </c>
      <c r="J252" s="189"/>
      <c r="K252" s="189">
        <f t="shared" si="92"/>
        <v>49377.333333333336</v>
      </c>
      <c r="L252" s="189">
        <v>0</v>
      </c>
      <c r="M252" s="189">
        <f t="shared" si="100"/>
        <v>0</v>
      </c>
      <c r="N252" s="189">
        <v>50000</v>
      </c>
      <c r="O252" s="188">
        <v>43900</v>
      </c>
      <c r="P252" s="188">
        <f t="shared" si="101"/>
        <v>0</v>
      </c>
      <c r="Q252" s="188">
        <v>80000</v>
      </c>
      <c r="R252" s="188">
        <v>41558</v>
      </c>
      <c r="S252" s="188">
        <f t="shared" si="102"/>
        <v>83116</v>
      </c>
      <c r="T252" s="188">
        <v>83116</v>
      </c>
      <c r="U252" s="188">
        <v>65701</v>
      </c>
      <c r="V252" s="190">
        <f t="shared" si="91"/>
        <v>78841.2</v>
      </c>
      <c r="W252" s="188">
        <v>60000</v>
      </c>
      <c r="X252" s="188">
        <v>55028</v>
      </c>
      <c r="Y252" s="188">
        <v>60000</v>
      </c>
      <c r="Z252" s="188"/>
      <c r="AA252" s="198">
        <v>51000</v>
      </c>
      <c r="AB252" s="198">
        <v>51000</v>
      </c>
      <c r="AC252" s="196"/>
      <c r="AD252" s="88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</row>
    <row r="253" spans="1:256" ht="30" customHeight="1" x14ac:dyDescent="0.25">
      <c r="A253" s="229">
        <v>814000.78</v>
      </c>
      <c r="B253" s="232" t="s">
        <v>106</v>
      </c>
      <c r="C253" s="194">
        <v>40000</v>
      </c>
      <c r="D253" s="187"/>
      <c r="E253" s="202">
        <v>52535</v>
      </c>
      <c r="F253" s="194">
        <v>45000</v>
      </c>
      <c r="G253" s="188">
        <v>17000</v>
      </c>
      <c r="H253" s="195">
        <v>12641</v>
      </c>
      <c r="I253" s="188">
        <v>52079</v>
      </c>
      <c r="J253" s="189"/>
      <c r="K253" s="189">
        <f t="shared" si="92"/>
        <v>69438.666666666672</v>
      </c>
      <c r="L253" s="189">
        <v>38800</v>
      </c>
      <c r="M253" s="189">
        <f t="shared" si="100"/>
        <v>19400</v>
      </c>
      <c r="N253" s="188">
        <v>50000</v>
      </c>
      <c r="O253" s="188">
        <v>57500</v>
      </c>
      <c r="P253" s="188">
        <f t="shared" si="101"/>
        <v>58200</v>
      </c>
      <c r="Q253" s="188">
        <v>60000</v>
      </c>
      <c r="R253" s="188">
        <v>8077</v>
      </c>
      <c r="S253" s="188">
        <f t="shared" si="102"/>
        <v>16154</v>
      </c>
      <c r="T253" s="188">
        <f t="shared" si="103"/>
        <v>60000</v>
      </c>
      <c r="U253" s="188">
        <v>54770</v>
      </c>
      <c r="V253" s="190">
        <f t="shared" si="91"/>
        <v>65724</v>
      </c>
      <c r="W253" s="188">
        <v>60000</v>
      </c>
      <c r="X253" s="188">
        <v>53579</v>
      </c>
      <c r="Y253" s="188">
        <v>64000</v>
      </c>
      <c r="Z253" s="188"/>
      <c r="AA253" s="198">
        <v>1000</v>
      </c>
      <c r="AB253" s="198">
        <v>0</v>
      </c>
      <c r="AC253" s="196"/>
      <c r="AD253" s="88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</row>
    <row r="254" spans="1:256" ht="30" customHeight="1" x14ac:dyDescent="0.25">
      <c r="A254" s="227">
        <v>814001.11</v>
      </c>
      <c r="B254" s="232" t="s">
        <v>720</v>
      </c>
      <c r="C254" s="194">
        <v>810000</v>
      </c>
      <c r="D254" s="203"/>
      <c r="E254" s="202">
        <v>812310</v>
      </c>
      <c r="F254" s="194">
        <v>819000</v>
      </c>
      <c r="G254" s="188">
        <v>905630</v>
      </c>
      <c r="H254" s="195">
        <v>735826</v>
      </c>
      <c r="I254" s="188">
        <v>756599</v>
      </c>
      <c r="J254" s="189"/>
      <c r="K254" s="189">
        <f t="shared" si="92"/>
        <v>1008798.6666666666</v>
      </c>
      <c r="L254" s="189">
        <v>620596</v>
      </c>
      <c r="M254" s="189">
        <f>L254/7*5</f>
        <v>443282.85714285716</v>
      </c>
      <c r="N254" s="190">
        <v>954867</v>
      </c>
      <c r="O254" s="190">
        <v>1047500</v>
      </c>
      <c r="P254" s="190">
        <f>M254+L254</f>
        <v>1063878.8571428573</v>
      </c>
      <c r="Q254" s="190">
        <f>O254*1.045</f>
        <v>1094637.5</v>
      </c>
      <c r="R254" s="190">
        <f>547134*0.98</f>
        <v>536191.31999999995</v>
      </c>
      <c r="S254" s="190">
        <f>R254*2</f>
        <v>1072382.6399999999</v>
      </c>
      <c r="T254" s="190">
        <f>S254</f>
        <v>1072382.6399999999</v>
      </c>
      <c r="U254" s="190">
        <v>903622</v>
      </c>
      <c r="V254" s="190">
        <f t="shared" si="91"/>
        <v>1084346.3999999999</v>
      </c>
      <c r="W254" s="190">
        <v>1120000</v>
      </c>
      <c r="X254" s="190">
        <v>1007630</v>
      </c>
      <c r="Y254" s="190">
        <v>1184000</v>
      </c>
      <c r="Z254" s="190">
        <v>1175000</v>
      </c>
      <c r="AA254" s="191">
        <v>1267000</v>
      </c>
      <c r="AB254" s="191">
        <v>1223000</v>
      </c>
      <c r="AC254" s="196">
        <v>11.86</v>
      </c>
      <c r="AD254" s="88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</row>
    <row r="255" spans="1:256" ht="30" customHeight="1" x14ac:dyDescent="0.25">
      <c r="A255" s="227">
        <v>814002.11</v>
      </c>
      <c r="B255" s="232" t="s">
        <v>721</v>
      </c>
      <c r="C255" s="194">
        <v>900000</v>
      </c>
      <c r="D255" s="203"/>
      <c r="E255" s="202">
        <v>884400</v>
      </c>
      <c r="F255" s="194">
        <v>899000</v>
      </c>
      <c r="G255" s="188">
        <v>1065030</v>
      </c>
      <c r="H255" s="195">
        <v>706118</v>
      </c>
      <c r="I255" s="188">
        <v>839219</v>
      </c>
      <c r="J255" s="189"/>
      <c r="K255" s="189">
        <f t="shared" si="92"/>
        <v>1118958.6666666667</v>
      </c>
      <c r="L255" s="189">
        <v>649538</v>
      </c>
      <c r="M255" s="189">
        <f>L255/7*5</f>
        <v>463955.71428571426</v>
      </c>
      <c r="N255" s="190">
        <v>1059149</v>
      </c>
      <c r="O255" s="190">
        <v>1069100</v>
      </c>
      <c r="P255" s="190">
        <f>M255+L255</f>
        <v>1113493.7142857143</v>
      </c>
      <c r="Q255" s="190">
        <f>O255*1.045</f>
        <v>1117209.5</v>
      </c>
      <c r="R255" s="190">
        <f>579669*0.98</f>
        <v>568075.62</v>
      </c>
      <c r="S255" s="190">
        <f>R255*2</f>
        <v>1136151.24</v>
      </c>
      <c r="T255" s="190">
        <f>S255</f>
        <v>1136151.24</v>
      </c>
      <c r="U255" s="190">
        <v>966191</v>
      </c>
      <c r="V255" s="190">
        <f t="shared" si="91"/>
        <v>1159429.2</v>
      </c>
      <c r="W255" s="190">
        <v>1158000</v>
      </c>
      <c r="X255" s="190">
        <v>1070354</v>
      </c>
      <c r="Y255" s="190">
        <v>1240000</v>
      </c>
      <c r="Z255" s="190">
        <v>1185000</v>
      </c>
      <c r="AA255" s="191">
        <v>1262000</v>
      </c>
      <c r="AB255" s="191">
        <v>1219000</v>
      </c>
      <c r="AC255" s="196">
        <v>11.58</v>
      </c>
      <c r="AD255" s="88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</row>
    <row r="256" spans="1:256" ht="30" customHeight="1" x14ac:dyDescent="0.25">
      <c r="A256" s="227">
        <v>814003.11</v>
      </c>
      <c r="B256" s="232" t="s">
        <v>722</v>
      </c>
      <c r="C256" s="194">
        <v>500000</v>
      </c>
      <c r="D256" s="203"/>
      <c r="E256" s="202">
        <v>514256</v>
      </c>
      <c r="F256" s="194">
        <v>525000</v>
      </c>
      <c r="G256" s="188">
        <v>580870</v>
      </c>
      <c r="H256" s="195">
        <v>425023</v>
      </c>
      <c r="I256" s="188">
        <v>419135</v>
      </c>
      <c r="J256" s="189"/>
      <c r="K256" s="189">
        <f t="shared" si="92"/>
        <v>558846.66666666663</v>
      </c>
      <c r="L256" s="189">
        <v>356005</v>
      </c>
      <c r="M256" s="189">
        <f>L256/7*5</f>
        <v>254289.28571428574</v>
      </c>
      <c r="N256" s="190">
        <v>558847</v>
      </c>
      <c r="O256" s="190">
        <v>566600</v>
      </c>
      <c r="P256" s="190">
        <f>M256+L256</f>
        <v>610294.28571428568</v>
      </c>
      <c r="Q256" s="190">
        <f>O256*1.045</f>
        <v>592097</v>
      </c>
      <c r="R256" s="190">
        <f>320944*0.98</f>
        <v>314525.12</v>
      </c>
      <c r="S256" s="190">
        <f>R256*2</f>
        <v>629050.24</v>
      </c>
      <c r="T256" s="190">
        <f>S256</f>
        <v>629050.24</v>
      </c>
      <c r="U256" s="190">
        <v>524468</v>
      </c>
      <c r="V256" s="190">
        <f t="shared" si="91"/>
        <v>629361.6</v>
      </c>
      <c r="W256" s="190">
        <v>680000</v>
      </c>
      <c r="X256" s="190">
        <v>527779</v>
      </c>
      <c r="Y256" s="190">
        <v>625000</v>
      </c>
      <c r="Z256" s="190">
        <v>611000</v>
      </c>
      <c r="AA256" s="191">
        <v>657000</v>
      </c>
      <c r="AB256" s="191">
        <v>633000</v>
      </c>
      <c r="AC256" s="196">
        <v>5.3</v>
      </c>
      <c r="AD256" s="88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</row>
    <row r="257" spans="1:256" ht="30" customHeight="1" x14ac:dyDescent="0.25">
      <c r="A257" s="227">
        <v>814004.11</v>
      </c>
      <c r="B257" s="232" t="s">
        <v>723</v>
      </c>
      <c r="C257" s="194"/>
      <c r="D257" s="203"/>
      <c r="E257" s="202"/>
      <c r="F257" s="194"/>
      <c r="G257" s="188"/>
      <c r="H257" s="195"/>
      <c r="I257" s="188"/>
      <c r="J257" s="189"/>
      <c r="K257" s="189"/>
      <c r="L257" s="189"/>
      <c r="M257" s="189"/>
      <c r="N257" s="190"/>
      <c r="O257" s="190"/>
      <c r="P257" s="190">
        <f>M257+L257</f>
        <v>0</v>
      </c>
      <c r="Q257" s="190">
        <v>427000</v>
      </c>
      <c r="R257" s="190">
        <f>186746*0.98</f>
        <v>183011.08</v>
      </c>
      <c r="S257" s="190">
        <f>R257*2</f>
        <v>366022.16</v>
      </c>
      <c r="T257" s="190">
        <f>S257</f>
        <v>366022.16</v>
      </c>
      <c r="U257" s="190">
        <v>307665</v>
      </c>
      <c r="V257" s="190">
        <f t="shared" si="91"/>
        <v>369198</v>
      </c>
      <c r="W257" s="190">
        <v>400000</v>
      </c>
      <c r="X257" s="190">
        <v>346192</v>
      </c>
      <c r="Y257" s="190">
        <v>413000</v>
      </c>
      <c r="Z257" s="190">
        <v>440000</v>
      </c>
      <c r="AA257" s="191">
        <v>472000</v>
      </c>
      <c r="AB257" s="191">
        <v>473000</v>
      </c>
      <c r="AC257" s="196">
        <v>5.4</v>
      </c>
      <c r="AD257" s="88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</row>
    <row r="258" spans="1:256" ht="30" customHeight="1" x14ac:dyDescent="0.25">
      <c r="A258" s="229">
        <v>814001.85</v>
      </c>
      <c r="B258" s="232" t="s">
        <v>669</v>
      </c>
      <c r="C258" s="202"/>
      <c r="D258" s="203"/>
      <c r="E258" s="202"/>
      <c r="F258" s="202"/>
      <c r="G258" s="188"/>
      <c r="H258" s="204"/>
      <c r="I258" s="188"/>
      <c r="J258" s="189"/>
      <c r="K258" s="189"/>
      <c r="L258" s="189"/>
      <c r="M258" s="189"/>
      <c r="N258" s="188"/>
      <c r="O258" s="188"/>
      <c r="P258" s="188"/>
      <c r="Q258" s="188"/>
      <c r="R258" s="188"/>
      <c r="S258" s="188"/>
      <c r="T258" s="188"/>
      <c r="U258" s="188"/>
      <c r="V258" s="190"/>
      <c r="W258" s="188"/>
      <c r="X258" s="188"/>
      <c r="Y258" s="188"/>
      <c r="Z258" s="188">
        <v>324000</v>
      </c>
      <c r="AA258" s="198">
        <v>207000</v>
      </c>
      <c r="AB258" s="198">
        <v>459000</v>
      </c>
      <c r="AC258" s="196"/>
      <c r="AD258" s="88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</row>
    <row r="259" spans="1:256" ht="30" customHeight="1" x14ac:dyDescent="0.25">
      <c r="A259" s="229">
        <v>814002.85</v>
      </c>
      <c r="B259" s="232" t="s">
        <v>670</v>
      </c>
      <c r="C259" s="202"/>
      <c r="D259" s="203"/>
      <c r="E259" s="202"/>
      <c r="F259" s="202"/>
      <c r="G259" s="188"/>
      <c r="H259" s="204"/>
      <c r="I259" s="188"/>
      <c r="J259" s="189"/>
      <c r="K259" s="189"/>
      <c r="L259" s="189"/>
      <c r="M259" s="189"/>
      <c r="N259" s="188"/>
      <c r="O259" s="188"/>
      <c r="P259" s="188"/>
      <c r="Q259" s="188"/>
      <c r="R259" s="188"/>
      <c r="S259" s="188"/>
      <c r="T259" s="188"/>
      <c r="U259" s="188"/>
      <c r="V259" s="190"/>
      <c r="W259" s="188"/>
      <c r="X259" s="188"/>
      <c r="Y259" s="188"/>
      <c r="Z259" s="188">
        <v>181000</v>
      </c>
      <c r="AA259" s="198">
        <v>126000</v>
      </c>
      <c r="AB259" s="198">
        <v>75000</v>
      </c>
      <c r="AC259" s="196"/>
      <c r="AD259" s="88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</row>
    <row r="260" spans="1:256" ht="30" customHeight="1" x14ac:dyDescent="0.25">
      <c r="A260" s="229">
        <v>814003.85</v>
      </c>
      <c r="B260" s="232" t="s">
        <v>671</v>
      </c>
      <c r="C260" s="202"/>
      <c r="D260" s="203"/>
      <c r="E260" s="202"/>
      <c r="F260" s="202"/>
      <c r="G260" s="188"/>
      <c r="H260" s="204"/>
      <c r="I260" s="188"/>
      <c r="J260" s="189"/>
      <c r="K260" s="189"/>
      <c r="L260" s="189"/>
      <c r="M260" s="189"/>
      <c r="N260" s="188"/>
      <c r="O260" s="188"/>
      <c r="P260" s="188"/>
      <c r="Q260" s="188"/>
      <c r="R260" s="188"/>
      <c r="S260" s="188"/>
      <c r="T260" s="188"/>
      <c r="U260" s="188"/>
      <c r="V260" s="190"/>
      <c r="W260" s="188"/>
      <c r="X260" s="188"/>
      <c r="Y260" s="188"/>
      <c r="Z260" s="188">
        <v>119000</v>
      </c>
      <c r="AA260" s="198">
        <v>13000</v>
      </c>
      <c r="AB260" s="198">
        <v>166500</v>
      </c>
      <c r="AC260" s="196"/>
      <c r="AD260" s="88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</row>
    <row r="261" spans="1:256" ht="30" customHeight="1" x14ac:dyDescent="0.25">
      <c r="A261" s="229">
        <v>814004.85</v>
      </c>
      <c r="B261" s="232" t="s">
        <v>668</v>
      </c>
      <c r="C261" s="202"/>
      <c r="D261" s="203"/>
      <c r="E261" s="202"/>
      <c r="F261" s="202"/>
      <c r="G261" s="188"/>
      <c r="H261" s="204"/>
      <c r="I261" s="188"/>
      <c r="J261" s="189"/>
      <c r="K261" s="189"/>
      <c r="L261" s="189"/>
      <c r="M261" s="189"/>
      <c r="N261" s="188"/>
      <c r="O261" s="188"/>
      <c r="P261" s="188"/>
      <c r="Q261" s="188"/>
      <c r="R261" s="188"/>
      <c r="S261" s="188"/>
      <c r="T261" s="188"/>
      <c r="U261" s="188"/>
      <c r="V261" s="190"/>
      <c r="W261" s="188"/>
      <c r="X261" s="188"/>
      <c r="Y261" s="188"/>
      <c r="Z261" s="188">
        <v>88000</v>
      </c>
      <c r="AA261" s="198">
        <v>47000</v>
      </c>
      <c r="AB261" s="198">
        <v>241000</v>
      </c>
      <c r="AC261" s="196"/>
      <c r="AD261" s="88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</row>
    <row r="262" spans="1:256" ht="30" customHeight="1" x14ac:dyDescent="0.25">
      <c r="A262" s="229">
        <v>814100.75</v>
      </c>
      <c r="B262" s="232" t="s">
        <v>705</v>
      </c>
      <c r="C262" s="202"/>
      <c r="D262" s="203"/>
      <c r="E262" s="202"/>
      <c r="F262" s="202"/>
      <c r="G262" s="188"/>
      <c r="H262" s="204"/>
      <c r="I262" s="188"/>
      <c r="J262" s="189"/>
      <c r="K262" s="189"/>
      <c r="L262" s="189"/>
      <c r="M262" s="189"/>
      <c r="N262" s="188"/>
      <c r="O262" s="188"/>
      <c r="P262" s="188"/>
      <c r="Q262" s="188"/>
      <c r="R262" s="188"/>
      <c r="S262" s="188"/>
      <c r="T262" s="188"/>
      <c r="U262" s="188"/>
      <c r="V262" s="190"/>
      <c r="W262" s="188"/>
      <c r="X262" s="188"/>
      <c r="Y262" s="188"/>
      <c r="Z262" s="188"/>
      <c r="AA262" s="198"/>
      <c r="AB262" s="198">
        <v>100000</v>
      </c>
      <c r="AC262" s="196"/>
      <c r="AD262" s="88"/>
      <c r="AE262" s="5"/>
      <c r="AF262" s="5">
        <v>10</v>
      </c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</row>
    <row r="263" spans="1:256" ht="30" customHeight="1" x14ac:dyDescent="0.25">
      <c r="A263" s="222"/>
      <c r="B263" s="275" t="s">
        <v>107</v>
      </c>
      <c r="C263" s="211">
        <f t="shared" ref="C263:L263" si="104">SUM(C245:C257)</f>
        <v>2488000</v>
      </c>
      <c r="D263" s="211">
        <f t="shared" si="104"/>
        <v>0</v>
      </c>
      <c r="E263" s="211">
        <f t="shared" si="104"/>
        <v>2425636</v>
      </c>
      <c r="F263" s="211">
        <f t="shared" si="104"/>
        <v>2478500</v>
      </c>
      <c r="G263" s="212">
        <f t="shared" si="104"/>
        <v>2957530</v>
      </c>
      <c r="H263" s="212">
        <f t="shared" si="104"/>
        <v>1955028</v>
      </c>
      <c r="I263" s="212">
        <f t="shared" si="104"/>
        <v>2333648</v>
      </c>
      <c r="J263" s="213">
        <f t="shared" si="104"/>
        <v>0</v>
      </c>
      <c r="K263" s="213">
        <f t="shared" si="104"/>
        <v>3111530.6666666665</v>
      </c>
      <c r="L263" s="213">
        <f t="shared" si="104"/>
        <v>1893385</v>
      </c>
      <c r="M263" s="213">
        <f t="shared" si="100"/>
        <v>946692.5</v>
      </c>
      <c r="N263" s="212">
        <f t="shared" ref="N263:Y263" si="105">SUM(N245:N257)</f>
        <v>2968863</v>
      </c>
      <c r="O263" s="212">
        <f t="shared" si="105"/>
        <v>3161800</v>
      </c>
      <c r="P263" s="212">
        <f t="shared" si="105"/>
        <v>3220717.3571428573</v>
      </c>
      <c r="Q263" s="212">
        <f t="shared" si="105"/>
        <v>3864844</v>
      </c>
      <c r="R263" s="212">
        <f t="shared" si="105"/>
        <v>1969768.1400000001</v>
      </c>
      <c r="S263" s="212">
        <f t="shared" si="105"/>
        <v>3939536.2800000003</v>
      </c>
      <c r="T263" s="212">
        <f t="shared" si="105"/>
        <v>3999940.2800000003</v>
      </c>
      <c r="U263" s="212">
        <f t="shared" si="105"/>
        <v>3317191</v>
      </c>
      <c r="V263" s="212">
        <f t="shared" si="105"/>
        <v>3980629.1999999997</v>
      </c>
      <c r="W263" s="212">
        <f t="shared" si="105"/>
        <v>4004000</v>
      </c>
      <c r="X263" s="212">
        <f t="shared" si="105"/>
        <v>3507352</v>
      </c>
      <c r="Y263" s="212">
        <f t="shared" si="105"/>
        <v>4098000</v>
      </c>
      <c r="Z263" s="212">
        <f>SUM(Z245:Z262)</f>
        <v>4223000</v>
      </c>
      <c r="AA263" s="211">
        <f>SUM(AA245:AA262)</f>
        <v>4695000</v>
      </c>
      <c r="AB263" s="211">
        <f>SUM(AB245:AB262)</f>
        <v>5102500</v>
      </c>
      <c r="AC263" s="212">
        <f>SUM(AC245:AC257)</f>
        <v>34.14</v>
      </c>
      <c r="AD263" s="88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</row>
    <row r="264" spans="1:256" ht="30" customHeight="1" x14ac:dyDescent="0.25">
      <c r="A264" s="229"/>
      <c r="B264" s="232"/>
      <c r="C264" s="194">
        <v>1000</v>
      </c>
      <c r="D264" s="187"/>
      <c r="E264" s="202">
        <v>0</v>
      </c>
      <c r="F264" s="194">
        <v>0</v>
      </c>
      <c r="G264" s="188">
        <f>1.025*D264</f>
        <v>0</v>
      </c>
      <c r="H264" s="195">
        <v>0</v>
      </c>
      <c r="I264" s="188">
        <f>H264*4/3</f>
        <v>0</v>
      </c>
      <c r="J264" s="189">
        <f>G264</f>
        <v>0</v>
      </c>
      <c r="K264" s="189">
        <f t="shared" si="92"/>
        <v>0</v>
      </c>
      <c r="L264" s="189"/>
      <c r="M264" s="189">
        <f t="shared" si="100"/>
        <v>0</v>
      </c>
      <c r="N264" s="188"/>
      <c r="O264" s="188"/>
      <c r="P264" s="188"/>
      <c r="Q264" s="188">
        <f>O264</f>
        <v>0</v>
      </c>
      <c r="R264" s="188"/>
      <c r="S264" s="188"/>
      <c r="T264" s="188"/>
      <c r="U264" s="188"/>
      <c r="V264" s="190"/>
      <c r="W264" s="188"/>
      <c r="X264" s="188"/>
      <c r="Y264" s="188"/>
      <c r="Z264" s="188"/>
      <c r="AA264" s="198"/>
      <c r="AB264" s="198"/>
      <c r="AC264" s="196"/>
      <c r="AD264" s="88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</row>
    <row r="265" spans="1:256" ht="30" customHeight="1" x14ac:dyDescent="0.25">
      <c r="A265" s="227">
        <v>815700.11</v>
      </c>
      <c r="B265" s="232" t="s">
        <v>517</v>
      </c>
      <c r="C265" s="202">
        <v>10600000</v>
      </c>
      <c r="D265" s="187"/>
      <c r="E265" s="202">
        <v>10783564</v>
      </c>
      <c r="F265" s="202">
        <v>10799000</v>
      </c>
      <c r="G265" s="188">
        <v>11705720</v>
      </c>
      <c r="H265" s="204">
        <v>8565161</v>
      </c>
      <c r="I265" s="188">
        <v>9581140</v>
      </c>
      <c r="J265" s="189"/>
      <c r="K265" s="189">
        <f t="shared" si="92"/>
        <v>12774853.333333334</v>
      </c>
      <c r="L265" s="189">
        <v>7803697</v>
      </c>
      <c r="M265" s="189">
        <f>L265/7*5</f>
        <v>5574069.2857142854</v>
      </c>
      <c r="N265" s="190">
        <v>12744853</v>
      </c>
      <c r="O265" s="190">
        <v>12686400</v>
      </c>
      <c r="P265" s="190">
        <f>M265+L265</f>
        <v>13377766.285714285</v>
      </c>
      <c r="Q265" s="190">
        <f>O265*1.045+100000-1791000</f>
        <v>11566288</v>
      </c>
      <c r="R265" s="190">
        <f>5781330*0.98</f>
        <v>5665703.3999999994</v>
      </c>
      <c r="S265" s="190">
        <f>R265*2</f>
        <v>11331406.799999999</v>
      </c>
      <c r="T265" s="190">
        <f>S265</f>
        <v>11331406.799999999</v>
      </c>
      <c r="U265" s="190">
        <v>9522738</v>
      </c>
      <c r="V265" s="190">
        <f t="shared" si="91"/>
        <v>11427285.6</v>
      </c>
      <c r="W265" s="190">
        <v>11650000</v>
      </c>
      <c r="X265" s="190">
        <f>Y265*10/12</f>
        <v>10198333.333333334</v>
      </c>
      <c r="Y265" s="190">
        <v>12238000</v>
      </c>
      <c r="Z265" s="190">
        <v>12350000</v>
      </c>
      <c r="AA265" s="191">
        <v>12881000</v>
      </c>
      <c r="AB265" s="191">
        <f>13268000+150000</f>
        <v>13418000</v>
      </c>
      <c r="AC265" s="196">
        <v>68.33</v>
      </c>
      <c r="AD265" s="88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</row>
    <row r="266" spans="1:256" ht="30" customHeight="1" x14ac:dyDescent="0.25">
      <c r="A266" s="229">
        <v>815700.42099999997</v>
      </c>
      <c r="B266" s="232" t="s">
        <v>108</v>
      </c>
      <c r="C266" s="194">
        <v>150000</v>
      </c>
      <c r="D266" s="187"/>
      <c r="E266" s="202">
        <v>31782</v>
      </c>
      <c r="F266" s="194">
        <v>15000</v>
      </c>
      <c r="G266" s="188">
        <v>50000</v>
      </c>
      <c r="H266" s="195">
        <v>37732</v>
      </c>
      <c r="I266" s="188">
        <v>69760</v>
      </c>
      <c r="J266" s="189"/>
      <c r="K266" s="189">
        <f t="shared" si="92"/>
        <v>93013.333333333328</v>
      </c>
      <c r="L266" s="189">
        <v>28988</v>
      </c>
      <c r="M266" s="189">
        <f t="shared" si="100"/>
        <v>14494</v>
      </c>
      <c r="N266" s="188">
        <v>30000</v>
      </c>
      <c r="O266" s="188">
        <v>30000</v>
      </c>
      <c r="P266" s="188">
        <f t="shared" ref="P266:P276" si="106">L266+M266</f>
        <v>43482</v>
      </c>
      <c r="Q266" s="188">
        <v>0</v>
      </c>
      <c r="R266" s="188">
        <v>0</v>
      </c>
      <c r="S266" s="188">
        <f t="shared" ref="S266:S273" si="107">R266*2</f>
        <v>0</v>
      </c>
      <c r="T266" s="188">
        <f t="shared" ref="T266:T271" si="108">Q266</f>
        <v>0</v>
      </c>
      <c r="U266" s="188">
        <v>18436</v>
      </c>
      <c r="V266" s="190">
        <f t="shared" si="91"/>
        <v>22123.200000000001</v>
      </c>
      <c r="W266" s="188">
        <v>20000</v>
      </c>
      <c r="X266" s="188">
        <v>3678</v>
      </c>
      <c r="Y266" s="188">
        <v>32000</v>
      </c>
      <c r="Z266" s="188">
        <f t="shared" ref="Z266:Z274" si="109">Y266</f>
        <v>32000</v>
      </c>
      <c r="AA266" s="198">
        <v>39000</v>
      </c>
      <c r="AB266" s="198">
        <v>39000</v>
      </c>
      <c r="AC266" s="196"/>
      <c r="AD266" s="88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</row>
    <row r="267" spans="1:256" ht="30" customHeight="1" x14ac:dyDescent="0.25">
      <c r="A267" s="229">
        <v>815700.43099999998</v>
      </c>
      <c r="B267" s="232" t="s">
        <v>109</v>
      </c>
      <c r="C267" s="194">
        <v>2000</v>
      </c>
      <c r="D267" s="187"/>
      <c r="E267" s="202">
        <v>0</v>
      </c>
      <c r="F267" s="194">
        <v>2000</v>
      </c>
      <c r="G267" s="188">
        <v>50000</v>
      </c>
      <c r="H267" s="195">
        <v>0</v>
      </c>
      <c r="I267" s="188">
        <v>100362</v>
      </c>
      <c r="J267" s="189"/>
      <c r="K267" s="189">
        <f t="shared" si="92"/>
        <v>133816</v>
      </c>
      <c r="L267" s="189">
        <v>110815</v>
      </c>
      <c r="M267" s="189">
        <f t="shared" si="100"/>
        <v>55407.5</v>
      </c>
      <c r="N267" s="188">
        <v>50000</v>
      </c>
      <c r="O267" s="188">
        <v>180500</v>
      </c>
      <c r="P267" s="188">
        <f t="shared" si="106"/>
        <v>166222.5</v>
      </c>
      <c r="Q267" s="188">
        <v>80000</v>
      </c>
      <c r="R267" s="188">
        <v>59662</v>
      </c>
      <c r="S267" s="188">
        <f t="shared" si="107"/>
        <v>119324</v>
      </c>
      <c r="T267" s="188">
        <v>119324</v>
      </c>
      <c r="U267" s="188">
        <v>138471</v>
      </c>
      <c r="V267" s="190">
        <f t="shared" si="91"/>
        <v>166165.20000000001</v>
      </c>
      <c r="W267" s="188">
        <v>160000</v>
      </c>
      <c r="X267" s="188">
        <v>124529</v>
      </c>
      <c r="Y267" s="188">
        <v>150000</v>
      </c>
      <c r="Z267" s="188">
        <f t="shared" si="109"/>
        <v>150000</v>
      </c>
      <c r="AA267" s="198">
        <v>166000</v>
      </c>
      <c r="AB267" s="198">
        <v>166000</v>
      </c>
      <c r="AC267" s="196"/>
      <c r="AD267" s="88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</row>
    <row r="268" spans="1:256" ht="30" customHeight="1" x14ac:dyDescent="0.25">
      <c r="A268" s="229">
        <v>815700.43200000003</v>
      </c>
      <c r="B268" s="232" t="s">
        <v>110</v>
      </c>
      <c r="C268" s="194">
        <v>1000</v>
      </c>
      <c r="D268" s="187"/>
      <c r="E268" s="202">
        <v>8121</v>
      </c>
      <c r="F268" s="194">
        <v>1000</v>
      </c>
      <c r="G268" s="188">
        <v>25000</v>
      </c>
      <c r="H268" s="195">
        <v>2055</v>
      </c>
      <c r="I268" s="188">
        <v>15570</v>
      </c>
      <c r="J268" s="189"/>
      <c r="K268" s="189">
        <f t="shared" si="92"/>
        <v>20760</v>
      </c>
      <c r="L268" s="189">
        <v>18000</v>
      </c>
      <c r="M268" s="189">
        <v>18000</v>
      </c>
      <c r="N268" s="188">
        <v>22000</v>
      </c>
      <c r="O268" s="188">
        <v>35000</v>
      </c>
      <c r="P268" s="188">
        <f t="shared" si="106"/>
        <v>36000</v>
      </c>
      <c r="Q268" s="188">
        <f>O268</f>
        <v>35000</v>
      </c>
      <c r="R268" s="188">
        <v>15253</v>
      </c>
      <c r="S268" s="188">
        <f t="shared" si="107"/>
        <v>30506</v>
      </c>
      <c r="T268" s="188">
        <f t="shared" si="108"/>
        <v>35000</v>
      </c>
      <c r="U268" s="188">
        <v>16714</v>
      </c>
      <c r="V268" s="190">
        <f t="shared" si="91"/>
        <v>20056.8</v>
      </c>
      <c r="W268" s="188">
        <v>30000</v>
      </c>
      <c r="X268" s="188">
        <v>1646</v>
      </c>
      <c r="Y268" s="188">
        <v>2000</v>
      </c>
      <c r="Z268" s="188">
        <f t="shared" si="109"/>
        <v>2000</v>
      </c>
      <c r="AA268" s="198">
        <v>11000</v>
      </c>
      <c r="AB268" s="198">
        <v>11000</v>
      </c>
      <c r="AC268" s="196"/>
      <c r="AD268" s="88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</row>
    <row r="269" spans="1:256" ht="30" customHeight="1" x14ac:dyDescent="0.25">
      <c r="A269" s="229">
        <v>815700.43299999996</v>
      </c>
      <c r="B269" s="232" t="s">
        <v>658</v>
      </c>
      <c r="C269" s="194"/>
      <c r="D269" s="187"/>
      <c r="E269" s="202"/>
      <c r="F269" s="194"/>
      <c r="G269" s="188"/>
      <c r="H269" s="195"/>
      <c r="I269" s="188"/>
      <c r="J269" s="189"/>
      <c r="K269" s="189"/>
      <c r="L269" s="189"/>
      <c r="M269" s="189"/>
      <c r="N269" s="188"/>
      <c r="O269" s="188"/>
      <c r="P269" s="188"/>
      <c r="Q269" s="188">
        <v>16000</v>
      </c>
      <c r="R269" s="188">
        <v>0</v>
      </c>
      <c r="S269" s="188">
        <f t="shared" si="107"/>
        <v>0</v>
      </c>
      <c r="T269" s="188">
        <v>8000</v>
      </c>
      <c r="U269" s="188">
        <v>5950</v>
      </c>
      <c r="V269" s="190">
        <f t="shared" si="91"/>
        <v>7140</v>
      </c>
      <c r="W269" s="188">
        <v>10000</v>
      </c>
      <c r="X269" s="188">
        <v>7216</v>
      </c>
      <c r="Y269" s="188">
        <v>8700</v>
      </c>
      <c r="Z269" s="188">
        <f t="shared" si="109"/>
        <v>8700</v>
      </c>
      <c r="AA269" s="198"/>
      <c r="AB269" s="198"/>
      <c r="AC269" s="196"/>
      <c r="AD269" s="88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</row>
    <row r="270" spans="1:256" ht="30" customHeight="1" x14ac:dyDescent="0.25">
      <c r="A270" s="229">
        <v>815700.44</v>
      </c>
      <c r="B270" s="232" t="s">
        <v>111</v>
      </c>
      <c r="C270" s="194">
        <v>40000</v>
      </c>
      <c r="D270" s="187"/>
      <c r="E270" s="202">
        <v>43444</v>
      </c>
      <c r="F270" s="194">
        <v>36000</v>
      </c>
      <c r="G270" s="188">
        <v>30000</v>
      </c>
      <c r="H270" s="195">
        <v>16580</v>
      </c>
      <c r="I270" s="188">
        <v>46624</v>
      </c>
      <c r="J270" s="189"/>
      <c r="K270" s="189">
        <f t="shared" si="92"/>
        <v>62165.333333333336</v>
      </c>
      <c r="L270" s="189">
        <v>62363</v>
      </c>
      <c r="M270" s="189">
        <v>62363</v>
      </c>
      <c r="N270" s="188">
        <v>62000</v>
      </c>
      <c r="O270" s="188">
        <v>74700</v>
      </c>
      <c r="P270" s="188">
        <f t="shared" si="106"/>
        <v>124726</v>
      </c>
      <c r="Q270" s="188">
        <f>O270</f>
        <v>74700</v>
      </c>
      <c r="R270" s="188">
        <f>Q270/2</f>
        <v>37350</v>
      </c>
      <c r="S270" s="188">
        <f t="shared" si="107"/>
        <v>74700</v>
      </c>
      <c r="T270" s="188">
        <f t="shared" si="108"/>
        <v>74700</v>
      </c>
      <c r="U270" s="188">
        <v>27257</v>
      </c>
      <c r="V270" s="190">
        <f t="shared" si="91"/>
        <v>32708.400000000001</v>
      </c>
      <c r="W270" s="188">
        <v>75000</v>
      </c>
      <c r="X270" s="188">
        <v>51711</v>
      </c>
      <c r="Y270" s="188">
        <v>62000</v>
      </c>
      <c r="Z270" s="188">
        <f t="shared" si="109"/>
        <v>62000</v>
      </c>
      <c r="AA270" s="198">
        <v>62000</v>
      </c>
      <c r="AB270" s="198">
        <v>62000</v>
      </c>
      <c r="AC270" s="196"/>
      <c r="AD270" s="88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</row>
    <row r="271" spans="1:256" ht="30" customHeight="1" x14ac:dyDescent="0.25">
      <c r="A271" s="229">
        <v>815700.54</v>
      </c>
      <c r="B271" s="232" t="s">
        <v>112</v>
      </c>
      <c r="C271" s="202">
        <v>3000</v>
      </c>
      <c r="D271" s="187"/>
      <c r="E271" s="202">
        <v>5776</v>
      </c>
      <c r="F271" s="202">
        <v>7000</v>
      </c>
      <c r="G271" s="188">
        <v>15000</v>
      </c>
      <c r="H271" s="204">
        <v>4980</v>
      </c>
      <c r="I271" s="188">
        <v>12928</v>
      </c>
      <c r="J271" s="189"/>
      <c r="K271" s="189">
        <f t="shared" si="92"/>
        <v>17237.333333333332</v>
      </c>
      <c r="L271" s="189">
        <v>20366</v>
      </c>
      <c r="M271" s="189">
        <f t="shared" si="100"/>
        <v>10183</v>
      </c>
      <c r="N271" s="188">
        <v>17000</v>
      </c>
      <c r="O271" s="188">
        <v>27800</v>
      </c>
      <c r="P271" s="188">
        <f t="shared" si="106"/>
        <v>30549</v>
      </c>
      <c r="Q271" s="188">
        <f>O271</f>
        <v>27800</v>
      </c>
      <c r="R271" s="188">
        <v>9855</v>
      </c>
      <c r="S271" s="188">
        <f t="shared" si="107"/>
        <v>19710</v>
      </c>
      <c r="T271" s="188">
        <f t="shared" si="108"/>
        <v>27800</v>
      </c>
      <c r="U271" s="188">
        <v>16279</v>
      </c>
      <c r="V271" s="190">
        <f t="shared" ref="V271:V319" si="110">U271*12/10</f>
        <v>19534.8</v>
      </c>
      <c r="W271" s="188">
        <v>20000</v>
      </c>
      <c r="X271" s="188">
        <v>5695</v>
      </c>
      <c r="Y271" s="188">
        <v>7000</v>
      </c>
      <c r="Z271" s="188">
        <f t="shared" si="109"/>
        <v>7000</v>
      </c>
      <c r="AA271" s="198">
        <v>7000</v>
      </c>
      <c r="AB271" s="198">
        <v>7000</v>
      </c>
      <c r="AC271" s="196"/>
      <c r="AD271" s="88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</row>
    <row r="272" spans="1:256" ht="30" customHeight="1" x14ac:dyDescent="0.25">
      <c r="A272" s="229">
        <v>815700.56</v>
      </c>
      <c r="B272" s="232" t="s">
        <v>113</v>
      </c>
      <c r="C272" s="194">
        <v>3000</v>
      </c>
      <c r="D272" s="187"/>
      <c r="E272" s="202">
        <v>0</v>
      </c>
      <c r="F272" s="194">
        <v>0</v>
      </c>
      <c r="G272" s="188">
        <v>40000</v>
      </c>
      <c r="H272" s="195">
        <v>5543</v>
      </c>
      <c r="I272" s="188">
        <v>40007</v>
      </c>
      <c r="J272" s="189"/>
      <c r="K272" s="189">
        <f t="shared" si="92"/>
        <v>53342.666666666664</v>
      </c>
      <c r="L272" s="189">
        <v>46744</v>
      </c>
      <c r="M272" s="189">
        <f t="shared" si="100"/>
        <v>23372</v>
      </c>
      <c r="N272" s="188">
        <v>50000</v>
      </c>
      <c r="O272" s="188">
        <v>50200</v>
      </c>
      <c r="P272" s="188">
        <f t="shared" si="106"/>
        <v>70116</v>
      </c>
      <c r="Q272" s="188">
        <v>50200</v>
      </c>
      <c r="R272" s="188">
        <v>35405</v>
      </c>
      <c r="S272" s="188">
        <f t="shared" si="107"/>
        <v>70810</v>
      </c>
      <c r="T272" s="188">
        <v>70810</v>
      </c>
      <c r="U272" s="188">
        <v>56919</v>
      </c>
      <c r="V272" s="190">
        <f t="shared" si="110"/>
        <v>68302.8</v>
      </c>
      <c r="W272" s="188">
        <v>70000</v>
      </c>
      <c r="X272" s="188">
        <v>77625</v>
      </c>
      <c r="Y272" s="188">
        <v>93000</v>
      </c>
      <c r="Z272" s="188">
        <f t="shared" si="109"/>
        <v>93000</v>
      </c>
      <c r="AA272" s="198">
        <v>41000</v>
      </c>
      <c r="AB272" s="198">
        <v>41000</v>
      </c>
      <c r="AC272" s="196"/>
      <c r="AD272" s="88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</row>
    <row r="273" spans="1:256" ht="30" customHeight="1" x14ac:dyDescent="0.25">
      <c r="A273" s="228">
        <v>815700.72</v>
      </c>
      <c r="B273" s="233" t="s">
        <v>390</v>
      </c>
      <c r="C273" s="202">
        <v>5000</v>
      </c>
      <c r="D273" s="203"/>
      <c r="E273" s="202">
        <v>3643</v>
      </c>
      <c r="F273" s="202">
        <v>5000</v>
      </c>
      <c r="G273" s="189">
        <f>15000+50000</f>
        <v>65000</v>
      </c>
      <c r="H273" s="204">
        <v>11680</v>
      </c>
      <c r="I273" s="189">
        <v>56279</v>
      </c>
      <c r="J273" s="189"/>
      <c r="K273" s="189">
        <f>I273*4/3</f>
        <v>75038.666666666672</v>
      </c>
      <c r="L273" s="189">
        <v>45876</v>
      </c>
      <c r="M273" s="189">
        <f t="shared" si="100"/>
        <v>22938</v>
      </c>
      <c r="N273" s="189">
        <v>60000</v>
      </c>
      <c r="O273" s="188">
        <v>57900</v>
      </c>
      <c r="P273" s="188">
        <f t="shared" si="106"/>
        <v>68814</v>
      </c>
      <c r="Q273" s="188">
        <f>O273</f>
        <v>57900</v>
      </c>
      <c r="R273" s="188">
        <v>17380</v>
      </c>
      <c r="S273" s="188">
        <f t="shared" si="107"/>
        <v>34760</v>
      </c>
      <c r="T273" s="188">
        <v>40000</v>
      </c>
      <c r="U273" s="188">
        <v>24164</v>
      </c>
      <c r="V273" s="190">
        <f t="shared" si="110"/>
        <v>28996.799999999999</v>
      </c>
      <c r="W273" s="188">
        <v>35000</v>
      </c>
      <c r="X273" s="188">
        <v>31726</v>
      </c>
      <c r="Y273" s="188">
        <v>38000</v>
      </c>
      <c r="Z273" s="188">
        <f t="shared" si="109"/>
        <v>38000</v>
      </c>
      <c r="AA273" s="198">
        <v>17000</v>
      </c>
      <c r="AB273" s="198">
        <v>17000</v>
      </c>
      <c r="AC273" s="196"/>
      <c r="AD273" s="88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</row>
    <row r="274" spans="1:256" ht="30" customHeight="1" x14ac:dyDescent="0.25">
      <c r="A274" s="228">
        <v>815700.75</v>
      </c>
      <c r="B274" s="233" t="s">
        <v>252</v>
      </c>
      <c r="C274" s="202">
        <v>0</v>
      </c>
      <c r="D274" s="203"/>
      <c r="E274" s="202">
        <v>33264</v>
      </c>
      <c r="F274" s="202">
        <v>30000</v>
      </c>
      <c r="G274" s="189">
        <f>36000+50000</f>
        <v>86000</v>
      </c>
      <c r="H274" s="204">
        <v>27105</v>
      </c>
      <c r="I274" s="189">
        <v>46390</v>
      </c>
      <c r="J274" s="189"/>
      <c r="K274" s="189">
        <f>I274*4/3</f>
        <v>61853.333333333336</v>
      </c>
      <c r="L274" s="189">
        <v>79829</v>
      </c>
      <c r="M274" s="189">
        <f t="shared" si="100"/>
        <v>39914.5</v>
      </c>
      <c r="N274" s="189">
        <v>61000</v>
      </c>
      <c r="O274" s="188">
        <v>79800</v>
      </c>
      <c r="P274" s="188">
        <f t="shared" si="106"/>
        <v>119743.5</v>
      </c>
      <c r="Q274" s="188">
        <v>49800</v>
      </c>
      <c r="R274" s="188">
        <v>29867</v>
      </c>
      <c r="S274" s="188">
        <v>50000</v>
      </c>
      <c r="T274" s="188">
        <v>50000</v>
      </c>
      <c r="U274" s="188">
        <v>35267</v>
      </c>
      <c r="V274" s="190">
        <f t="shared" si="110"/>
        <v>42320.4</v>
      </c>
      <c r="W274" s="188">
        <v>80000</v>
      </c>
      <c r="X274" s="188">
        <v>140976</v>
      </c>
      <c r="Y274" s="188">
        <v>169000</v>
      </c>
      <c r="Z274" s="188">
        <f t="shared" si="109"/>
        <v>169000</v>
      </c>
      <c r="AA274" s="198">
        <v>196000</v>
      </c>
      <c r="AB274" s="198">
        <v>196000</v>
      </c>
      <c r="AC274" s="196"/>
      <c r="AD274" s="88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</row>
    <row r="275" spans="1:256" ht="30" customHeight="1" x14ac:dyDescent="0.25">
      <c r="A275" s="228">
        <v>815700.75100000005</v>
      </c>
      <c r="B275" s="233" t="s">
        <v>667</v>
      </c>
      <c r="C275" s="202"/>
      <c r="D275" s="203"/>
      <c r="E275" s="202"/>
      <c r="F275" s="202"/>
      <c r="G275" s="189"/>
      <c r="H275" s="204"/>
      <c r="I275" s="189"/>
      <c r="J275" s="189"/>
      <c r="K275" s="189"/>
      <c r="L275" s="189"/>
      <c r="M275" s="189"/>
      <c r="N275" s="189"/>
      <c r="O275" s="188"/>
      <c r="P275" s="188"/>
      <c r="Q275" s="188"/>
      <c r="R275" s="188"/>
      <c r="S275" s="188"/>
      <c r="T275" s="188"/>
      <c r="U275" s="188"/>
      <c r="V275" s="190"/>
      <c r="W275" s="188"/>
      <c r="X275" s="188"/>
      <c r="Y275" s="188"/>
      <c r="Z275" s="189">
        <v>100000</v>
      </c>
      <c r="AA275" s="205">
        <v>62000</v>
      </c>
      <c r="AB275" s="205">
        <v>62000</v>
      </c>
      <c r="AC275" s="196"/>
      <c r="AD275" s="88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</row>
    <row r="276" spans="1:256" ht="30" customHeight="1" x14ac:dyDescent="0.25">
      <c r="A276" s="228">
        <v>815700.78</v>
      </c>
      <c r="B276" s="233" t="s">
        <v>115</v>
      </c>
      <c r="C276" s="202">
        <v>30000</v>
      </c>
      <c r="D276" s="203"/>
      <c r="E276" s="202">
        <v>31596</v>
      </c>
      <c r="F276" s="202">
        <v>30000</v>
      </c>
      <c r="G276" s="189">
        <v>40000</v>
      </c>
      <c r="H276" s="204">
        <v>54928</v>
      </c>
      <c r="I276" s="189">
        <v>46423</v>
      </c>
      <c r="J276" s="189"/>
      <c r="K276" s="189">
        <f>I276*4/3</f>
        <v>61897.333333333336</v>
      </c>
      <c r="L276" s="189">
        <v>77764</v>
      </c>
      <c r="M276" s="189">
        <f t="shared" si="100"/>
        <v>38882</v>
      </c>
      <c r="N276" s="189">
        <v>60000</v>
      </c>
      <c r="O276" s="188">
        <v>91000</v>
      </c>
      <c r="P276" s="188">
        <f t="shared" si="106"/>
        <v>116646</v>
      </c>
      <c r="Q276" s="188">
        <v>45000</v>
      </c>
      <c r="R276" s="188">
        <v>25962</v>
      </c>
      <c r="S276" s="188">
        <v>50000</v>
      </c>
      <c r="T276" s="188">
        <v>50000</v>
      </c>
      <c r="U276" s="188">
        <v>53353</v>
      </c>
      <c r="V276" s="190">
        <f t="shared" si="110"/>
        <v>64023.6</v>
      </c>
      <c r="W276" s="188">
        <v>50000</v>
      </c>
      <c r="X276" s="188">
        <v>65608</v>
      </c>
      <c r="Y276" s="188">
        <v>83000</v>
      </c>
      <c r="Z276" s="189">
        <v>100000</v>
      </c>
      <c r="AA276" s="205">
        <v>99000</v>
      </c>
      <c r="AB276" s="205">
        <v>99000</v>
      </c>
      <c r="AC276" s="196"/>
      <c r="AD276" s="88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</row>
    <row r="277" spans="1:256" ht="30" customHeight="1" x14ac:dyDescent="0.25">
      <c r="A277" s="227">
        <v>815701.11</v>
      </c>
      <c r="B277" s="233" t="s">
        <v>368</v>
      </c>
      <c r="C277" s="202">
        <v>7500000</v>
      </c>
      <c r="D277" s="203"/>
      <c r="E277" s="202">
        <v>7648449</v>
      </c>
      <c r="F277" s="202">
        <v>7689000</v>
      </c>
      <c r="G277" s="189">
        <v>8771780</v>
      </c>
      <c r="H277" s="204">
        <v>6226664</v>
      </c>
      <c r="I277" s="189">
        <v>6450011</v>
      </c>
      <c r="J277" s="189"/>
      <c r="K277" s="189">
        <f t="shared" ref="K277:K284" si="111">I277*4/3</f>
        <v>8600014.666666666</v>
      </c>
      <c r="L277" s="189">
        <v>6345459</v>
      </c>
      <c r="M277" s="189">
        <f>L277/7*5</f>
        <v>4532470.7142857146</v>
      </c>
      <c r="N277" s="190">
        <v>8522773</v>
      </c>
      <c r="O277" s="190">
        <v>10332900</v>
      </c>
      <c r="P277" s="190">
        <f>M277+L277</f>
        <v>10877929.714285715</v>
      </c>
      <c r="Q277" s="190">
        <f>O277*1.045+300000</f>
        <v>11097880.5</v>
      </c>
      <c r="R277" s="190">
        <f>5435129.98*0.98+165000</f>
        <v>5491427.3804000001</v>
      </c>
      <c r="S277" s="190">
        <f>R277*2</f>
        <v>10982854.7608</v>
      </c>
      <c r="T277" s="190">
        <f>S277</f>
        <v>10982854.7608</v>
      </c>
      <c r="U277" s="190">
        <v>8939101</v>
      </c>
      <c r="V277" s="190">
        <f t="shared" si="110"/>
        <v>10726921.199999999</v>
      </c>
      <c r="W277" s="190">
        <v>11200000</v>
      </c>
      <c r="X277" s="190">
        <f>Y277*10/12</f>
        <v>10058333.333333334</v>
      </c>
      <c r="Y277" s="190">
        <v>12070000</v>
      </c>
      <c r="Z277" s="190">
        <v>12150000</v>
      </c>
      <c r="AA277" s="225">
        <v>12577000</v>
      </c>
      <c r="AB277" s="225">
        <v>13538000</v>
      </c>
      <c r="AC277" s="196">
        <v>66.39</v>
      </c>
      <c r="AD277" s="88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</row>
    <row r="278" spans="1:256" ht="30" customHeight="1" x14ac:dyDescent="0.25">
      <c r="A278" s="229">
        <v>815701.43099999998</v>
      </c>
      <c r="B278" s="232" t="s">
        <v>109</v>
      </c>
      <c r="C278" s="194">
        <v>1000</v>
      </c>
      <c r="D278" s="187"/>
      <c r="E278" s="202">
        <v>0</v>
      </c>
      <c r="F278" s="194">
        <v>1000</v>
      </c>
      <c r="G278" s="188">
        <v>50000</v>
      </c>
      <c r="H278" s="195">
        <v>0</v>
      </c>
      <c r="I278" s="188">
        <v>29555</v>
      </c>
      <c r="J278" s="189"/>
      <c r="K278" s="189">
        <f t="shared" si="111"/>
        <v>39406.666666666664</v>
      </c>
      <c r="L278" s="189">
        <v>46761</v>
      </c>
      <c r="M278" s="189">
        <f t="shared" si="100"/>
        <v>23380.5</v>
      </c>
      <c r="N278" s="188">
        <v>40000</v>
      </c>
      <c r="O278" s="188">
        <v>66900</v>
      </c>
      <c r="P278" s="188">
        <f t="shared" ref="P278:P284" si="112">L278+M278</f>
        <v>70141.5</v>
      </c>
      <c r="Q278" s="188">
        <v>80000</v>
      </c>
      <c r="R278" s="188">
        <v>34709</v>
      </c>
      <c r="S278" s="188">
        <v>60000</v>
      </c>
      <c r="T278" s="188">
        <v>60000</v>
      </c>
      <c r="U278" s="188">
        <v>91171</v>
      </c>
      <c r="V278" s="190">
        <f t="shared" si="110"/>
        <v>109405.2</v>
      </c>
      <c r="W278" s="188">
        <v>100000</v>
      </c>
      <c r="X278" s="188">
        <v>109035</v>
      </c>
      <c r="Y278" s="188">
        <v>130000</v>
      </c>
      <c r="Z278" s="188">
        <f t="shared" ref="Z278:Z297" si="113">Y278</f>
        <v>130000</v>
      </c>
      <c r="AA278" s="198">
        <v>84000</v>
      </c>
      <c r="AB278" s="198">
        <v>84000</v>
      </c>
      <c r="AC278" s="196"/>
      <c r="AD278" s="88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</row>
    <row r="279" spans="1:256" ht="30" customHeight="1" x14ac:dyDescent="0.25">
      <c r="A279" s="229">
        <v>815701.43200000003</v>
      </c>
      <c r="B279" s="232" t="s">
        <v>110</v>
      </c>
      <c r="C279" s="194">
        <v>1000</v>
      </c>
      <c r="D279" s="187"/>
      <c r="E279" s="202">
        <v>0</v>
      </c>
      <c r="F279" s="194">
        <v>1000</v>
      </c>
      <c r="G279" s="188">
        <v>55000</v>
      </c>
      <c r="H279" s="195">
        <v>0</v>
      </c>
      <c r="I279" s="188">
        <v>77451</v>
      </c>
      <c r="J279" s="189"/>
      <c r="K279" s="189">
        <f t="shared" si="111"/>
        <v>103268</v>
      </c>
      <c r="L279" s="189">
        <v>51000</v>
      </c>
      <c r="M279" s="189">
        <v>51000</v>
      </c>
      <c r="N279" s="188">
        <v>55000</v>
      </c>
      <c r="O279" s="188">
        <v>100000</v>
      </c>
      <c r="P279" s="188">
        <f t="shared" si="112"/>
        <v>102000</v>
      </c>
      <c r="Q279" s="188">
        <v>35000</v>
      </c>
      <c r="R279" s="188">
        <v>43837</v>
      </c>
      <c r="S279" s="188">
        <v>60000</v>
      </c>
      <c r="T279" s="188">
        <v>60000</v>
      </c>
      <c r="U279" s="188">
        <v>87674</v>
      </c>
      <c r="V279" s="190">
        <f t="shared" si="110"/>
        <v>105208.8</v>
      </c>
      <c r="W279" s="188">
        <v>90000</v>
      </c>
      <c r="X279" s="188">
        <v>49172</v>
      </c>
      <c r="Y279" s="188">
        <v>59000</v>
      </c>
      <c r="Z279" s="188">
        <f t="shared" si="113"/>
        <v>59000</v>
      </c>
      <c r="AA279" s="198">
        <v>45000</v>
      </c>
      <c r="AB279" s="198">
        <v>45000</v>
      </c>
      <c r="AC279" s="196"/>
      <c r="AD279" s="88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</row>
    <row r="280" spans="1:256" ht="30" customHeight="1" x14ac:dyDescent="0.25">
      <c r="A280" s="229">
        <v>815701.54</v>
      </c>
      <c r="B280" s="232" t="s">
        <v>112</v>
      </c>
      <c r="C280" s="194">
        <v>3000</v>
      </c>
      <c r="D280" s="187"/>
      <c r="E280" s="202">
        <v>3958</v>
      </c>
      <c r="F280" s="194">
        <v>6000</v>
      </c>
      <c r="G280" s="188">
        <v>15000</v>
      </c>
      <c r="H280" s="195">
        <v>3678</v>
      </c>
      <c r="I280" s="188">
        <v>4276</v>
      </c>
      <c r="J280" s="189"/>
      <c r="K280" s="189">
        <f t="shared" si="111"/>
        <v>5701.333333333333</v>
      </c>
      <c r="L280" s="189">
        <v>2704</v>
      </c>
      <c r="M280" s="189">
        <f t="shared" si="100"/>
        <v>1352</v>
      </c>
      <c r="N280" s="188">
        <v>15000</v>
      </c>
      <c r="O280" s="188">
        <v>5000</v>
      </c>
      <c r="P280" s="188">
        <f t="shared" si="112"/>
        <v>4056</v>
      </c>
      <c r="Q280" s="188">
        <v>27800</v>
      </c>
      <c r="R280" s="188">
        <v>2738</v>
      </c>
      <c r="S280" s="188">
        <f t="shared" ref="S280:S284" si="114">R280*2</f>
        <v>5476</v>
      </c>
      <c r="T280" s="188">
        <f>Q280</f>
        <v>27800</v>
      </c>
      <c r="U280" s="188">
        <v>4790</v>
      </c>
      <c r="V280" s="190">
        <f t="shared" si="110"/>
        <v>5748</v>
      </c>
      <c r="W280" s="188">
        <v>10000</v>
      </c>
      <c r="X280" s="188">
        <v>7308</v>
      </c>
      <c r="Y280" s="188">
        <v>9000</v>
      </c>
      <c r="Z280" s="188">
        <f t="shared" si="113"/>
        <v>9000</v>
      </c>
      <c r="AA280" s="198">
        <v>9000</v>
      </c>
      <c r="AB280" s="198">
        <v>9000</v>
      </c>
      <c r="AC280" s="196"/>
      <c r="AD280" s="88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</row>
    <row r="281" spans="1:256" ht="30" customHeight="1" x14ac:dyDescent="0.25">
      <c r="A281" s="229">
        <v>815701.56</v>
      </c>
      <c r="B281" s="232" t="s">
        <v>113</v>
      </c>
      <c r="C281" s="194">
        <v>1000</v>
      </c>
      <c r="D281" s="187"/>
      <c r="E281" s="202">
        <v>0</v>
      </c>
      <c r="F281" s="194">
        <v>1000</v>
      </c>
      <c r="G281" s="188">
        <v>25000</v>
      </c>
      <c r="H281" s="195">
        <v>0</v>
      </c>
      <c r="I281" s="188">
        <v>29628</v>
      </c>
      <c r="J281" s="189"/>
      <c r="K281" s="189">
        <f t="shared" si="111"/>
        <v>39504</v>
      </c>
      <c r="L281" s="189">
        <v>30482</v>
      </c>
      <c r="M281" s="189">
        <f t="shared" si="100"/>
        <v>15241</v>
      </c>
      <c r="N281" s="188">
        <v>40000</v>
      </c>
      <c r="O281" s="188">
        <v>34500</v>
      </c>
      <c r="P281" s="188">
        <f t="shared" si="112"/>
        <v>45723</v>
      </c>
      <c r="Q281" s="188">
        <v>50200</v>
      </c>
      <c r="R281" s="188">
        <v>13839</v>
      </c>
      <c r="S281" s="188">
        <f t="shared" si="114"/>
        <v>27678</v>
      </c>
      <c r="T281" s="188">
        <f>Q281</f>
        <v>50200</v>
      </c>
      <c r="U281" s="188">
        <v>36915</v>
      </c>
      <c r="V281" s="190">
        <f t="shared" si="110"/>
        <v>44298</v>
      </c>
      <c r="W281" s="188">
        <v>40000</v>
      </c>
      <c r="X281" s="188">
        <v>16028</v>
      </c>
      <c r="Y281" s="188">
        <v>40000</v>
      </c>
      <c r="Z281" s="188">
        <f t="shared" si="113"/>
        <v>40000</v>
      </c>
      <c r="AA281" s="198">
        <v>36000</v>
      </c>
      <c r="AB281" s="198">
        <v>36000</v>
      </c>
      <c r="AC281" s="196"/>
      <c r="AD281" s="88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</row>
    <row r="282" spans="1:256" ht="30" customHeight="1" x14ac:dyDescent="0.25">
      <c r="A282" s="229">
        <v>815701.72</v>
      </c>
      <c r="B282" s="232" t="s">
        <v>114</v>
      </c>
      <c r="C282" s="194">
        <v>1000</v>
      </c>
      <c r="D282" s="187"/>
      <c r="E282" s="202">
        <v>0</v>
      </c>
      <c r="F282" s="194">
        <v>1000</v>
      </c>
      <c r="G282" s="188">
        <v>15000</v>
      </c>
      <c r="H282" s="195">
        <v>0</v>
      </c>
      <c r="I282" s="188">
        <v>13472</v>
      </c>
      <c r="J282" s="189"/>
      <c r="K282" s="189">
        <f t="shared" si="111"/>
        <v>17962.666666666668</v>
      </c>
      <c r="L282" s="189">
        <v>12645</v>
      </c>
      <c r="M282" s="189">
        <f t="shared" si="100"/>
        <v>6322.5</v>
      </c>
      <c r="N282" s="188">
        <v>15000</v>
      </c>
      <c r="O282" s="188">
        <v>15000</v>
      </c>
      <c r="P282" s="188">
        <f t="shared" si="112"/>
        <v>18967.5</v>
      </c>
      <c r="Q282" s="188">
        <v>57900</v>
      </c>
      <c r="R282" s="188">
        <v>16043</v>
      </c>
      <c r="S282" s="188">
        <f t="shared" si="114"/>
        <v>32086</v>
      </c>
      <c r="T282" s="188">
        <v>40000</v>
      </c>
      <c r="U282" s="188">
        <v>24619</v>
      </c>
      <c r="V282" s="190">
        <f t="shared" si="110"/>
        <v>29542.799999999999</v>
      </c>
      <c r="W282" s="188">
        <v>25000</v>
      </c>
      <c r="X282" s="188">
        <v>18146</v>
      </c>
      <c r="Y282" s="188">
        <v>22000</v>
      </c>
      <c r="Z282" s="188">
        <f t="shared" si="113"/>
        <v>22000</v>
      </c>
      <c r="AA282" s="198">
        <v>10000</v>
      </c>
      <c r="AB282" s="198">
        <v>10000</v>
      </c>
      <c r="AC282" s="196"/>
      <c r="AD282" s="88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</row>
    <row r="283" spans="1:256" ht="30" customHeight="1" x14ac:dyDescent="0.25">
      <c r="A283" s="229">
        <v>815701.75</v>
      </c>
      <c r="B283" s="232" t="s">
        <v>403</v>
      </c>
      <c r="C283" s="194">
        <v>0</v>
      </c>
      <c r="D283" s="187"/>
      <c r="E283" s="202">
        <v>0</v>
      </c>
      <c r="F283" s="194">
        <v>15000</v>
      </c>
      <c r="G283" s="188">
        <v>50000</v>
      </c>
      <c r="H283" s="195">
        <v>0</v>
      </c>
      <c r="I283" s="188">
        <v>24400</v>
      </c>
      <c r="J283" s="189"/>
      <c r="K283" s="189">
        <f t="shared" si="111"/>
        <v>32533.333333333332</v>
      </c>
      <c r="L283" s="189">
        <v>5800</v>
      </c>
      <c r="M283" s="189">
        <f t="shared" si="100"/>
        <v>2900</v>
      </c>
      <c r="N283" s="188">
        <v>35000</v>
      </c>
      <c r="O283" s="188">
        <v>10800</v>
      </c>
      <c r="P283" s="188">
        <f t="shared" si="112"/>
        <v>8700</v>
      </c>
      <c r="Q283" s="188">
        <v>49800</v>
      </c>
      <c r="R283" s="188">
        <v>26800</v>
      </c>
      <c r="S283" s="188">
        <v>50000</v>
      </c>
      <c r="T283" s="188">
        <v>50000</v>
      </c>
      <c r="U283" s="188">
        <v>26800</v>
      </c>
      <c r="V283" s="190">
        <f t="shared" si="110"/>
        <v>32160</v>
      </c>
      <c r="W283" s="188">
        <v>25000</v>
      </c>
      <c r="X283" s="188">
        <v>8732</v>
      </c>
      <c r="Y283" s="188">
        <v>10500</v>
      </c>
      <c r="Z283" s="188">
        <f t="shared" si="113"/>
        <v>10500</v>
      </c>
      <c r="AA283" s="198"/>
      <c r="AB283" s="198"/>
      <c r="AC283" s="196"/>
      <c r="AD283" s="88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</row>
    <row r="284" spans="1:256" ht="30" customHeight="1" x14ac:dyDescent="0.25">
      <c r="A284" s="229">
        <v>815701.78</v>
      </c>
      <c r="B284" s="232" t="s">
        <v>218</v>
      </c>
      <c r="C284" s="202">
        <v>5000</v>
      </c>
      <c r="D284" s="187"/>
      <c r="E284" s="202">
        <v>2222</v>
      </c>
      <c r="F284" s="202">
        <v>5000</v>
      </c>
      <c r="G284" s="188">
        <v>1000</v>
      </c>
      <c r="H284" s="204">
        <v>0</v>
      </c>
      <c r="I284" s="188">
        <v>696</v>
      </c>
      <c r="J284" s="189"/>
      <c r="K284" s="189">
        <f t="shared" si="111"/>
        <v>928</v>
      </c>
      <c r="L284" s="189">
        <v>3000</v>
      </c>
      <c r="M284" s="189">
        <f t="shared" si="100"/>
        <v>1500</v>
      </c>
      <c r="N284" s="188">
        <v>1000</v>
      </c>
      <c r="O284" s="188">
        <v>1000</v>
      </c>
      <c r="P284" s="188">
        <f t="shared" si="112"/>
        <v>4500</v>
      </c>
      <c r="Q284" s="188">
        <v>66000</v>
      </c>
      <c r="R284" s="188">
        <v>12807</v>
      </c>
      <c r="S284" s="188">
        <f t="shared" si="114"/>
        <v>25614</v>
      </c>
      <c r="T284" s="188">
        <v>50000</v>
      </c>
      <c r="U284" s="188">
        <v>33692</v>
      </c>
      <c r="V284" s="190">
        <f t="shared" si="110"/>
        <v>40430.400000000001</v>
      </c>
      <c r="W284" s="188">
        <v>35000</v>
      </c>
      <c r="X284" s="188">
        <v>23625</v>
      </c>
      <c r="Y284" s="188">
        <v>28400</v>
      </c>
      <c r="Z284" s="189">
        <v>85000</v>
      </c>
      <c r="AA284" s="205">
        <v>55000</v>
      </c>
      <c r="AB284" s="205">
        <v>55000</v>
      </c>
      <c r="AC284" s="196"/>
      <c r="AD284" s="88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</row>
    <row r="285" spans="1:256" ht="30" customHeight="1" x14ac:dyDescent="0.25">
      <c r="A285" s="227">
        <v>815702.11</v>
      </c>
      <c r="B285" s="232" t="s">
        <v>518</v>
      </c>
      <c r="C285" s="194">
        <v>7500000</v>
      </c>
      <c r="D285" s="187"/>
      <c r="E285" s="202">
        <v>7648449</v>
      </c>
      <c r="F285" s="194">
        <v>7689000</v>
      </c>
      <c r="G285" s="188">
        <v>0</v>
      </c>
      <c r="H285" s="195">
        <v>6226664</v>
      </c>
      <c r="I285" s="188">
        <v>0</v>
      </c>
      <c r="J285" s="189"/>
      <c r="K285" s="189">
        <f t="shared" ref="K285:K292" si="115">I285*4/3</f>
        <v>0</v>
      </c>
      <c r="L285" s="189">
        <v>1984973</v>
      </c>
      <c r="M285" s="189">
        <f>L285/7*5</f>
        <v>1417837.857142857</v>
      </c>
      <c r="N285" s="190">
        <v>679000</v>
      </c>
      <c r="O285" s="190">
        <v>3543600</v>
      </c>
      <c r="P285" s="190">
        <f>M285+L285</f>
        <v>3402810.8571428573</v>
      </c>
      <c r="Q285" s="190">
        <f>O285*1.045</f>
        <v>3703061.9999999995</v>
      </c>
      <c r="R285" s="190">
        <f>2441521.28*0.98</f>
        <v>2392690.8543999996</v>
      </c>
      <c r="S285" s="190">
        <f>R285*2</f>
        <v>4785381.7087999992</v>
      </c>
      <c r="T285" s="190">
        <f>S285</f>
        <v>4785381.7087999992</v>
      </c>
      <c r="U285" s="190">
        <v>4210628</v>
      </c>
      <c r="V285" s="190">
        <f t="shared" si="110"/>
        <v>5052753.5999999996</v>
      </c>
      <c r="W285" s="190">
        <v>4685000</v>
      </c>
      <c r="X285" s="190">
        <f>Y285*10/12</f>
        <v>5416666.666666667</v>
      </c>
      <c r="Y285" s="190">
        <v>6500000</v>
      </c>
      <c r="Z285" s="190">
        <v>6650000</v>
      </c>
      <c r="AA285" s="191">
        <v>7670000</v>
      </c>
      <c r="AB285" s="191">
        <v>8359000</v>
      </c>
      <c r="AC285" s="196">
        <v>54.33</v>
      </c>
      <c r="AD285" s="88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</row>
    <row r="286" spans="1:256" ht="30" customHeight="1" x14ac:dyDescent="0.25">
      <c r="A286" s="229">
        <v>815702.43099999998</v>
      </c>
      <c r="B286" s="232" t="s">
        <v>109</v>
      </c>
      <c r="C286" s="194">
        <v>1000</v>
      </c>
      <c r="D286" s="187"/>
      <c r="E286" s="202">
        <v>0</v>
      </c>
      <c r="F286" s="194">
        <v>1000</v>
      </c>
      <c r="G286" s="188">
        <v>0</v>
      </c>
      <c r="H286" s="195">
        <v>6226664</v>
      </c>
      <c r="I286" s="188">
        <v>0</v>
      </c>
      <c r="J286" s="189"/>
      <c r="K286" s="189">
        <f t="shared" si="115"/>
        <v>0</v>
      </c>
      <c r="L286" s="189">
        <v>0</v>
      </c>
      <c r="M286" s="189">
        <f t="shared" si="100"/>
        <v>0</v>
      </c>
      <c r="N286" s="188">
        <v>60000</v>
      </c>
      <c r="O286" s="188">
        <f>M286+L286</f>
        <v>0</v>
      </c>
      <c r="P286" s="188">
        <f t="shared" ref="P286:P292" si="116">L286+M286</f>
        <v>0</v>
      </c>
      <c r="Q286" s="188">
        <v>35000</v>
      </c>
      <c r="R286" s="188">
        <v>0</v>
      </c>
      <c r="S286" s="188">
        <f t="shared" ref="S286:S292" si="117">R286*2</f>
        <v>0</v>
      </c>
      <c r="T286" s="188">
        <f t="shared" ref="T286:T292" si="118">Q286</f>
        <v>35000</v>
      </c>
      <c r="U286" s="188">
        <v>52640</v>
      </c>
      <c r="V286" s="190">
        <f t="shared" si="110"/>
        <v>63168</v>
      </c>
      <c r="W286" s="188">
        <v>60000</v>
      </c>
      <c r="X286" s="188">
        <v>86795</v>
      </c>
      <c r="Y286" s="188">
        <v>104000</v>
      </c>
      <c r="Z286" s="188">
        <f t="shared" si="113"/>
        <v>104000</v>
      </c>
      <c r="AA286" s="198">
        <v>109000</v>
      </c>
      <c r="AB286" s="198">
        <v>109000</v>
      </c>
      <c r="AC286" s="196"/>
      <c r="AD286" s="88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</row>
    <row r="287" spans="1:256" ht="30" customHeight="1" x14ac:dyDescent="0.25">
      <c r="A287" s="229">
        <v>815702.43200000003</v>
      </c>
      <c r="B287" s="232" t="s">
        <v>110</v>
      </c>
      <c r="C287" s="194">
        <v>1000</v>
      </c>
      <c r="D287" s="187"/>
      <c r="E287" s="202">
        <v>0</v>
      </c>
      <c r="F287" s="194">
        <v>1000</v>
      </c>
      <c r="G287" s="188">
        <v>0</v>
      </c>
      <c r="H287" s="195">
        <v>6226664</v>
      </c>
      <c r="I287" s="188">
        <v>0</v>
      </c>
      <c r="J287" s="189"/>
      <c r="K287" s="189">
        <f t="shared" si="115"/>
        <v>0</v>
      </c>
      <c r="L287" s="189">
        <v>0</v>
      </c>
      <c r="M287" s="189">
        <f t="shared" si="100"/>
        <v>0</v>
      </c>
      <c r="N287" s="188">
        <v>40000</v>
      </c>
      <c r="O287" s="188">
        <f>M287+L287</f>
        <v>0</v>
      </c>
      <c r="P287" s="188">
        <f t="shared" si="116"/>
        <v>0</v>
      </c>
      <c r="Q287" s="188">
        <v>15000</v>
      </c>
      <c r="R287" s="188">
        <v>0</v>
      </c>
      <c r="S287" s="188">
        <f t="shared" si="117"/>
        <v>0</v>
      </c>
      <c r="T287" s="188">
        <f t="shared" si="118"/>
        <v>15000</v>
      </c>
      <c r="U287" s="188">
        <v>3336</v>
      </c>
      <c r="V287" s="190">
        <f t="shared" si="110"/>
        <v>4003.2</v>
      </c>
      <c r="W287" s="188">
        <v>10000</v>
      </c>
      <c r="X287" s="188">
        <v>4640</v>
      </c>
      <c r="Y287" s="188">
        <v>6000</v>
      </c>
      <c r="Z287" s="188">
        <f t="shared" si="113"/>
        <v>6000</v>
      </c>
      <c r="AA287" s="198">
        <v>25000</v>
      </c>
      <c r="AB287" s="198">
        <v>25000</v>
      </c>
      <c r="AC287" s="196"/>
      <c r="AD287" s="88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</row>
    <row r="288" spans="1:256" ht="30" customHeight="1" x14ac:dyDescent="0.25">
      <c r="A288" s="229">
        <v>815702.54</v>
      </c>
      <c r="B288" s="232" t="s">
        <v>112</v>
      </c>
      <c r="C288" s="194">
        <v>3000</v>
      </c>
      <c r="D288" s="187"/>
      <c r="E288" s="202">
        <v>3958</v>
      </c>
      <c r="F288" s="194">
        <v>6000</v>
      </c>
      <c r="G288" s="188">
        <v>0</v>
      </c>
      <c r="H288" s="195">
        <v>6226664</v>
      </c>
      <c r="I288" s="188">
        <v>0</v>
      </c>
      <c r="J288" s="189"/>
      <c r="K288" s="189">
        <f t="shared" si="115"/>
        <v>0</v>
      </c>
      <c r="L288" s="189">
        <v>0</v>
      </c>
      <c r="M288" s="189">
        <f t="shared" si="100"/>
        <v>0</v>
      </c>
      <c r="N288" s="188">
        <v>15000</v>
      </c>
      <c r="O288" s="188">
        <f>M288+L288</f>
        <v>0</v>
      </c>
      <c r="P288" s="188">
        <f t="shared" si="116"/>
        <v>0</v>
      </c>
      <c r="Q288" s="188">
        <v>15000</v>
      </c>
      <c r="R288" s="188">
        <v>0</v>
      </c>
      <c r="S288" s="188">
        <f t="shared" si="117"/>
        <v>0</v>
      </c>
      <c r="T288" s="188">
        <f t="shared" si="118"/>
        <v>15000</v>
      </c>
      <c r="U288" s="188"/>
      <c r="V288" s="190">
        <f t="shared" si="110"/>
        <v>0</v>
      </c>
      <c r="W288" s="188"/>
      <c r="X288" s="188">
        <v>938</v>
      </c>
      <c r="Y288" s="188">
        <v>1000</v>
      </c>
      <c r="Z288" s="188">
        <f t="shared" si="113"/>
        <v>1000</v>
      </c>
      <c r="AA288" s="198">
        <v>1000</v>
      </c>
      <c r="AB288" s="198">
        <v>1000</v>
      </c>
      <c r="AC288" s="196"/>
      <c r="AD288" s="88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</row>
    <row r="289" spans="1:256" ht="30" customHeight="1" x14ac:dyDescent="0.25">
      <c r="A289" s="229">
        <v>815702.56</v>
      </c>
      <c r="B289" s="232" t="s">
        <v>113</v>
      </c>
      <c r="C289" s="194">
        <v>1000</v>
      </c>
      <c r="D289" s="187"/>
      <c r="E289" s="202">
        <v>0</v>
      </c>
      <c r="F289" s="194">
        <v>1000</v>
      </c>
      <c r="G289" s="188">
        <v>0</v>
      </c>
      <c r="H289" s="195">
        <v>6226664</v>
      </c>
      <c r="I289" s="188">
        <v>0</v>
      </c>
      <c r="J289" s="189"/>
      <c r="K289" s="189">
        <f t="shared" si="115"/>
        <v>0</v>
      </c>
      <c r="L289" s="189">
        <v>6018</v>
      </c>
      <c r="M289" s="189">
        <f t="shared" si="100"/>
        <v>3009</v>
      </c>
      <c r="N289" s="188">
        <v>40000</v>
      </c>
      <c r="O289" s="188">
        <v>6000</v>
      </c>
      <c r="P289" s="188">
        <f t="shared" si="116"/>
        <v>9027</v>
      </c>
      <c r="Q289" s="188">
        <v>18000</v>
      </c>
      <c r="R289" s="188">
        <v>7304</v>
      </c>
      <c r="S289" s="188">
        <f t="shared" si="117"/>
        <v>14608</v>
      </c>
      <c r="T289" s="188">
        <f t="shared" si="118"/>
        <v>18000</v>
      </c>
      <c r="U289" s="188">
        <v>15990</v>
      </c>
      <c r="V289" s="190">
        <f t="shared" si="110"/>
        <v>19188</v>
      </c>
      <c r="W289" s="188">
        <v>20000</v>
      </c>
      <c r="X289" s="188">
        <v>12867</v>
      </c>
      <c r="Y289" s="188">
        <v>15000</v>
      </c>
      <c r="Z289" s="188">
        <f t="shared" si="113"/>
        <v>15000</v>
      </c>
      <c r="AA289" s="198">
        <v>14000</v>
      </c>
      <c r="AB289" s="198">
        <v>14000</v>
      </c>
      <c r="AC289" s="196"/>
      <c r="AD289" s="88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</row>
    <row r="290" spans="1:256" ht="30" customHeight="1" x14ac:dyDescent="0.25">
      <c r="A290" s="229">
        <v>815702.72</v>
      </c>
      <c r="B290" s="232" t="s">
        <v>114</v>
      </c>
      <c r="C290" s="194">
        <v>1000</v>
      </c>
      <c r="D290" s="187"/>
      <c r="E290" s="202">
        <v>0</v>
      </c>
      <c r="F290" s="194">
        <v>1000</v>
      </c>
      <c r="G290" s="188">
        <v>0</v>
      </c>
      <c r="H290" s="195">
        <v>6226664</v>
      </c>
      <c r="I290" s="188">
        <v>0</v>
      </c>
      <c r="J290" s="189"/>
      <c r="K290" s="189">
        <f t="shared" si="115"/>
        <v>0</v>
      </c>
      <c r="L290" s="189">
        <v>0</v>
      </c>
      <c r="M290" s="189">
        <f t="shared" si="100"/>
        <v>0</v>
      </c>
      <c r="N290" s="188">
        <v>50000</v>
      </c>
      <c r="O290" s="188">
        <v>42600</v>
      </c>
      <c r="P290" s="188">
        <f t="shared" si="116"/>
        <v>0</v>
      </c>
      <c r="Q290" s="188">
        <v>25000</v>
      </c>
      <c r="R290" s="188">
        <v>15000</v>
      </c>
      <c r="S290" s="188">
        <f t="shared" si="117"/>
        <v>30000</v>
      </c>
      <c r="T290" s="188">
        <v>30000</v>
      </c>
      <c r="U290" s="188">
        <v>17564</v>
      </c>
      <c r="V290" s="190">
        <f t="shared" si="110"/>
        <v>21076.799999999999</v>
      </c>
      <c r="W290" s="188">
        <v>30000</v>
      </c>
      <c r="X290" s="188">
        <v>27966</v>
      </c>
      <c r="Y290" s="188">
        <v>33000</v>
      </c>
      <c r="Z290" s="188">
        <f t="shared" si="113"/>
        <v>33000</v>
      </c>
      <c r="AA290" s="198">
        <v>11000</v>
      </c>
      <c r="AB290" s="198">
        <v>11000</v>
      </c>
      <c r="AC290" s="196"/>
      <c r="AD290" s="88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</row>
    <row r="291" spans="1:256" ht="30" customHeight="1" x14ac:dyDescent="0.25">
      <c r="A291" s="229">
        <v>815702.75</v>
      </c>
      <c r="B291" s="232" t="s">
        <v>403</v>
      </c>
      <c r="C291" s="194">
        <v>0</v>
      </c>
      <c r="D291" s="187"/>
      <c r="E291" s="202">
        <v>0</v>
      </c>
      <c r="F291" s="194">
        <v>15000</v>
      </c>
      <c r="G291" s="188">
        <v>0</v>
      </c>
      <c r="H291" s="195">
        <v>6226664</v>
      </c>
      <c r="I291" s="188">
        <v>0</v>
      </c>
      <c r="J291" s="189"/>
      <c r="K291" s="189">
        <f t="shared" si="115"/>
        <v>0</v>
      </c>
      <c r="L291" s="189">
        <v>0</v>
      </c>
      <c r="M291" s="189">
        <f t="shared" si="100"/>
        <v>0</v>
      </c>
      <c r="N291" s="188">
        <v>50000</v>
      </c>
      <c r="O291" s="188">
        <v>50000</v>
      </c>
      <c r="P291" s="188">
        <f t="shared" si="116"/>
        <v>0</v>
      </c>
      <c r="Q291" s="188">
        <f>O291</f>
        <v>50000</v>
      </c>
      <c r="R291" s="188">
        <v>25000</v>
      </c>
      <c r="S291" s="188">
        <f t="shared" si="117"/>
        <v>50000</v>
      </c>
      <c r="T291" s="188">
        <f t="shared" si="118"/>
        <v>50000</v>
      </c>
      <c r="U291" s="188">
        <v>25000</v>
      </c>
      <c r="V291" s="190">
        <f t="shared" si="110"/>
        <v>30000</v>
      </c>
      <c r="W291" s="188">
        <v>25000</v>
      </c>
      <c r="X291" s="188">
        <v>8732</v>
      </c>
      <c r="Y291" s="188">
        <v>10500</v>
      </c>
      <c r="Z291" s="188">
        <f t="shared" si="113"/>
        <v>10500</v>
      </c>
      <c r="AA291" s="198"/>
      <c r="AB291" s="198"/>
      <c r="AC291" s="196"/>
      <c r="AD291" s="88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</row>
    <row r="292" spans="1:256" ht="30" customHeight="1" x14ac:dyDescent="0.25">
      <c r="A292" s="229">
        <v>815702.78</v>
      </c>
      <c r="B292" s="232" t="s">
        <v>218</v>
      </c>
      <c r="C292" s="202">
        <v>5000</v>
      </c>
      <c r="D292" s="187"/>
      <c r="E292" s="202">
        <v>2222</v>
      </c>
      <c r="F292" s="202">
        <v>5000</v>
      </c>
      <c r="G292" s="188">
        <v>0</v>
      </c>
      <c r="H292" s="195">
        <v>6226664</v>
      </c>
      <c r="I292" s="188">
        <v>0</v>
      </c>
      <c r="J292" s="189"/>
      <c r="K292" s="189">
        <f t="shared" si="115"/>
        <v>0</v>
      </c>
      <c r="L292" s="189">
        <v>0</v>
      </c>
      <c r="M292" s="189">
        <f t="shared" si="100"/>
        <v>0</v>
      </c>
      <c r="N292" s="188">
        <v>28668</v>
      </c>
      <c r="O292" s="188">
        <v>288600</v>
      </c>
      <c r="P292" s="188">
        <f t="shared" si="116"/>
        <v>0</v>
      </c>
      <c r="Q292" s="188">
        <v>50000</v>
      </c>
      <c r="R292" s="188">
        <v>16006</v>
      </c>
      <c r="S292" s="188">
        <f t="shared" si="117"/>
        <v>32012</v>
      </c>
      <c r="T292" s="188">
        <f t="shared" si="118"/>
        <v>50000</v>
      </c>
      <c r="U292" s="188">
        <v>20091</v>
      </c>
      <c r="V292" s="190">
        <f t="shared" si="110"/>
        <v>24109.200000000001</v>
      </c>
      <c r="W292" s="188">
        <v>35000</v>
      </c>
      <c r="X292" s="188">
        <v>30346</v>
      </c>
      <c r="Y292" s="188">
        <v>36000</v>
      </c>
      <c r="Z292" s="189">
        <v>85000</v>
      </c>
      <c r="AA292" s="205">
        <v>106000</v>
      </c>
      <c r="AB292" s="205">
        <v>106000</v>
      </c>
      <c r="AC292" s="196"/>
      <c r="AD292" s="88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</row>
    <row r="293" spans="1:256" ht="30" customHeight="1" x14ac:dyDescent="0.25">
      <c r="A293" s="227">
        <v>815703.11</v>
      </c>
      <c r="B293" s="232" t="s">
        <v>519</v>
      </c>
      <c r="C293" s="194"/>
      <c r="D293" s="187"/>
      <c r="E293" s="202"/>
      <c r="F293" s="194"/>
      <c r="G293" s="188"/>
      <c r="H293" s="195"/>
      <c r="I293" s="188"/>
      <c r="J293" s="189"/>
      <c r="K293" s="189"/>
      <c r="L293" s="189"/>
      <c r="M293" s="189"/>
      <c r="N293" s="190"/>
      <c r="O293" s="190"/>
      <c r="P293" s="190">
        <f>M293+L293</f>
        <v>0</v>
      </c>
      <c r="Q293" s="190">
        <v>1791000</v>
      </c>
      <c r="R293" s="190">
        <f>963070*0.98</f>
        <v>943808.6</v>
      </c>
      <c r="S293" s="190">
        <f>R293*2</f>
        <v>1887617.2</v>
      </c>
      <c r="T293" s="190">
        <f>S293</f>
        <v>1887617.2</v>
      </c>
      <c r="U293" s="190">
        <v>1728392</v>
      </c>
      <c r="V293" s="190">
        <f t="shared" si="110"/>
        <v>2074070.4</v>
      </c>
      <c r="W293" s="190">
        <v>2820000</v>
      </c>
      <c r="X293" s="190">
        <f>Y293*10/12</f>
        <v>2764166.6666666665</v>
      </c>
      <c r="Y293" s="190">
        <v>3317000</v>
      </c>
      <c r="Z293" s="190">
        <v>3450000</v>
      </c>
      <c r="AA293" s="191">
        <v>3684000</v>
      </c>
      <c r="AB293" s="191">
        <v>4552000</v>
      </c>
      <c r="AC293" s="196">
        <v>27.45</v>
      </c>
      <c r="AD293" s="88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</row>
    <row r="294" spans="1:256" ht="30" customHeight="1" x14ac:dyDescent="0.25">
      <c r="A294" s="229">
        <v>815703.43200000003</v>
      </c>
      <c r="B294" s="232" t="s">
        <v>110</v>
      </c>
      <c r="C294" s="202"/>
      <c r="D294" s="187"/>
      <c r="E294" s="202"/>
      <c r="F294" s="202"/>
      <c r="G294" s="188"/>
      <c r="H294" s="195"/>
      <c r="I294" s="188"/>
      <c r="J294" s="189"/>
      <c r="K294" s="189"/>
      <c r="L294" s="189"/>
      <c r="M294" s="189"/>
      <c r="N294" s="188"/>
      <c r="O294" s="188"/>
      <c r="P294" s="188">
        <f t="shared" ref="P294:P298" si="119">L294+M294</f>
        <v>0</v>
      </c>
      <c r="Q294" s="188">
        <v>10000</v>
      </c>
      <c r="R294" s="188">
        <v>0</v>
      </c>
      <c r="S294" s="188">
        <f t="shared" ref="S294:S298" si="120">R294*2</f>
        <v>0</v>
      </c>
      <c r="T294" s="188">
        <f t="shared" ref="T294:T296" si="121">Q294</f>
        <v>10000</v>
      </c>
      <c r="U294" s="188">
        <v>1437</v>
      </c>
      <c r="V294" s="190">
        <f t="shared" si="110"/>
        <v>1724.4</v>
      </c>
      <c r="W294" s="188">
        <v>5000</v>
      </c>
      <c r="X294" s="188">
        <v>2003</v>
      </c>
      <c r="Y294" s="188">
        <v>3000</v>
      </c>
      <c r="Z294" s="188">
        <f t="shared" si="113"/>
        <v>3000</v>
      </c>
      <c r="AA294" s="198">
        <v>23000</v>
      </c>
      <c r="AB294" s="198">
        <v>23000</v>
      </c>
      <c r="AC294" s="196"/>
      <c r="AD294" s="88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</row>
    <row r="295" spans="1:256" ht="30" customHeight="1" x14ac:dyDescent="0.25">
      <c r="A295" s="229">
        <v>815703.56</v>
      </c>
      <c r="B295" s="232" t="s">
        <v>113</v>
      </c>
      <c r="C295" s="202"/>
      <c r="D295" s="187"/>
      <c r="E295" s="202"/>
      <c r="F295" s="202"/>
      <c r="G295" s="188"/>
      <c r="H295" s="195"/>
      <c r="I295" s="188"/>
      <c r="J295" s="189"/>
      <c r="K295" s="189"/>
      <c r="L295" s="189"/>
      <c r="M295" s="189"/>
      <c r="N295" s="188"/>
      <c r="O295" s="188"/>
      <c r="P295" s="188">
        <f t="shared" si="119"/>
        <v>0</v>
      </c>
      <c r="Q295" s="188">
        <v>15000</v>
      </c>
      <c r="R295" s="188">
        <v>7080</v>
      </c>
      <c r="S295" s="188">
        <f t="shared" si="120"/>
        <v>14160</v>
      </c>
      <c r="T295" s="188">
        <f t="shared" si="121"/>
        <v>15000</v>
      </c>
      <c r="U295" s="188">
        <v>14988</v>
      </c>
      <c r="V295" s="190">
        <f t="shared" si="110"/>
        <v>17985.599999999999</v>
      </c>
      <c r="W295" s="188">
        <v>20000</v>
      </c>
      <c r="X295" s="188">
        <v>1430</v>
      </c>
      <c r="Y295" s="188">
        <v>2000</v>
      </c>
      <c r="Z295" s="188">
        <f t="shared" si="113"/>
        <v>2000</v>
      </c>
      <c r="AA295" s="198">
        <v>2000</v>
      </c>
      <c r="AB295" s="198">
        <v>2000</v>
      </c>
      <c r="AC295" s="196"/>
      <c r="AD295" s="88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</row>
    <row r="296" spans="1:256" ht="30" customHeight="1" x14ac:dyDescent="0.25">
      <c r="A296" s="229">
        <v>815703.72</v>
      </c>
      <c r="B296" s="232" t="s">
        <v>114</v>
      </c>
      <c r="C296" s="202"/>
      <c r="D296" s="187"/>
      <c r="E296" s="202"/>
      <c r="F296" s="202"/>
      <c r="G296" s="188"/>
      <c r="H296" s="195"/>
      <c r="I296" s="188"/>
      <c r="J296" s="189"/>
      <c r="K296" s="189"/>
      <c r="L296" s="189"/>
      <c r="M296" s="189"/>
      <c r="N296" s="188"/>
      <c r="O296" s="188"/>
      <c r="P296" s="188">
        <f t="shared" si="119"/>
        <v>0</v>
      </c>
      <c r="Q296" s="188">
        <v>20000</v>
      </c>
      <c r="R296" s="188">
        <v>9045</v>
      </c>
      <c r="S296" s="188">
        <f t="shared" si="120"/>
        <v>18090</v>
      </c>
      <c r="T296" s="188">
        <f t="shared" si="121"/>
        <v>20000</v>
      </c>
      <c r="U296" s="188">
        <v>16335</v>
      </c>
      <c r="V296" s="190">
        <f t="shared" si="110"/>
        <v>19602</v>
      </c>
      <c r="W296" s="188">
        <v>20000</v>
      </c>
      <c r="X296" s="188">
        <v>14367</v>
      </c>
      <c r="Y296" s="188">
        <v>17000</v>
      </c>
      <c r="Z296" s="188">
        <f t="shared" si="113"/>
        <v>17000</v>
      </c>
      <c r="AA296" s="198">
        <v>23000</v>
      </c>
      <c r="AB296" s="198">
        <v>23000</v>
      </c>
      <c r="AC296" s="196"/>
      <c r="AD296" s="88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</row>
    <row r="297" spans="1:256" ht="30" customHeight="1" x14ac:dyDescent="0.25">
      <c r="A297" s="229">
        <v>815703.75</v>
      </c>
      <c r="B297" s="232" t="s">
        <v>403</v>
      </c>
      <c r="C297" s="202"/>
      <c r="D297" s="187"/>
      <c r="E297" s="202"/>
      <c r="F297" s="202"/>
      <c r="G297" s="188"/>
      <c r="H297" s="195"/>
      <c r="I297" s="188"/>
      <c r="J297" s="189"/>
      <c r="K297" s="189"/>
      <c r="L297" s="189"/>
      <c r="M297" s="189"/>
      <c r="N297" s="188"/>
      <c r="O297" s="188"/>
      <c r="P297" s="188">
        <f t="shared" si="119"/>
        <v>0</v>
      </c>
      <c r="Q297" s="188">
        <v>60000</v>
      </c>
      <c r="R297" s="188">
        <v>8100</v>
      </c>
      <c r="S297" s="188">
        <f t="shared" si="120"/>
        <v>16200</v>
      </c>
      <c r="T297" s="188">
        <v>50000</v>
      </c>
      <c r="U297" s="188">
        <v>24900</v>
      </c>
      <c r="V297" s="190">
        <f t="shared" si="110"/>
        <v>29880</v>
      </c>
      <c r="W297" s="188">
        <v>15000</v>
      </c>
      <c r="X297" s="188">
        <v>4885</v>
      </c>
      <c r="Y297" s="188">
        <v>6000</v>
      </c>
      <c r="Z297" s="188">
        <f t="shared" si="113"/>
        <v>6000</v>
      </c>
      <c r="AA297" s="198">
        <v>28000</v>
      </c>
      <c r="AB297" s="198">
        <v>28000</v>
      </c>
      <c r="AC297" s="196"/>
      <c r="AD297" s="88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</row>
    <row r="298" spans="1:256" ht="30" customHeight="1" x14ac:dyDescent="0.25">
      <c r="A298" s="229">
        <v>815703.78</v>
      </c>
      <c r="B298" s="232" t="s">
        <v>218</v>
      </c>
      <c r="C298" s="202"/>
      <c r="D298" s="187"/>
      <c r="E298" s="202"/>
      <c r="F298" s="202"/>
      <c r="G298" s="188"/>
      <c r="H298" s="195"/>
      <c r="I298" s="188"/>
      <c r="J298" s="189"/>
      <c r="K298" s="189"/>
      <c r="L298" s="189"/>
      <c r="M298" s="189"/>
      <c r="N298" s="188"/>
      <c r="O298" s="188"/>
      <c r="P298" s="188">
        <f t="shared" si="119"/>
        <v>0</v>
      </c>
      <c r="Q298" s="188">
        <v>60000</v>
      </c>
      <c r="R298" s="188">
        <v>21814</v>
      </c>
      <c r="S298" s="188">
        <f t="shared" si="120"/>
        <v>43628</v>
      </c>
      <c r="T298" s="188">
        <v>50000</v>
      </c>
      <c r="U298" s="188">
        <v>29063</v>
      </c>
      <c r="V298" s="190">
        <f t="shared" si="110"/>
        <v>34875.599999999999</v>
      </c>
      <c r="W298" s="188">
        <v>25000</v>
      </c>
      <c r="X298" s="188">
        <v>36054</v>
      </c>
      <c r="Y298" s="188">
        <v>43000</v>
      </c>
      <c r="Z298" s="189">
        <v>75000</v>
      </c>
      <c r="AA298" s="205">
        <v>104000</v>
      </c>
      <c r="AB298" s="205">
        <v>104000</v>
      </c>
      <c r="AC298" s="196"/>
      <c r="AD298" s="88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</row>
    <row r="299" spans="1:256" ht="30" customHeight="1" x14ac:dyDescent="0.25">
      <c r="A299" s="222"/>
      <c r="B299" s="275" t="s">
        <v>116</v>
      </c>
      <c r="C299" s="211">
        <f>SUM(C264:C284)</f>
        <v>18347000</v>
      </c>
      <c r="D299" s="211">
        <f>SUM(D264:D284)</f>
        <v>0</v>
      </c>
      <c r="E299" s="211">
        <f>SUM(E264:E284)</f>
        <v>18595819</v>
      </c>
      <c r="F299" s="211">
        <f>SUM(F264:F284)</f>
        <v>18644000</v>
      </c>
      <c r="G299" s="212">
        <f>SUM(G264:G298)</f>
        <v>21089500</v>
      </c>
      <c r="H299" s="212">
        <f>SUM(H264:H298)</f>
        <v>64769418</v>
      </c>
      <c r="I299" s="212">
        <f>SUM(I264:I298)</f>
        <v>16644972</v>
      </c>
      <c r="J299" s="213">
        <f>SUM(J264:J298)</f>
        <v>0</v>
      </c>
      <c r="K299" s="213">
        <f>SUM(K264:K298)</f>
        <v>22193296</v>
      </c>
      <c r="L299" s="213">
        <f>SUM(L265:L298)</f>
        <v>16783284</v>
      </c>
      <c r="M299" s="213">
        <f>SUM(M265:M298)</f>
        <v>11914636.857142856</v>
      </c>
      <c r="N299" s="212">
        <f t="shared" ref="N299:AC299" si="122">SUM(N264:N298)</f>
        <v>22843294</v>
      </c>
      <c r="O299" s="212">
        <f t="shared" si="122"/>
        <v>27810200</v>
      </c>
      <c r="P299" s="212">
        <f t="shared" si="122"/>
        <v>28697920.857142858</v>
      </c>
      <c r="Q299" s="212">
        <f t="shared" si="122"/>
        <v>29334330.5</v>
      </c>
      <c r="R299" s="212">
        <f t="shared" si="122"/>
        <v>14984486.2348</v>
      </c>
      <c r="S299" s="212">
        <f t="shared" si="122"/>
        <v>29916622.469599999</v>
      </c>
      <c r="T299" s="212">
        <f t="shared" si="122"/>
        <v>30158894.469599999</v>
      </c>
      <c r="U299" s="212">
        <f t="shared" si="122"/>
        <v>25320674</v>
      </c>
      <c r="V299" s="212">
        <f t="shared" si="122"/>
        <v>30384808.800000001</v>
      </c>
      <c r="W299" s="212">
        <f t="shared" si="122"/>
        <v>31495000</v>
      </c>
      <c r="X299" s="212">
        <f t="shared" si="122"/>
        <v>29410979.000000004</v>
      </c>
      <c r="Y299" s="212">
        <f t="shared" si="122"/>
        <v>35345100</v>
      </c>
      <c r="Z299" s="212">
        <f t="shared" si="122"/>
        <v>36074700</v>
      </c>
      <c r="AA299" s="211">
        <f t="shared" si="122"/>
        <v>38197000</v>
      </c>
      <c r="AB299" s="211">
        <f t="shared" si="122"/>
        <v>41252000</v>
      </c>
      <c r="AC299" s="212">
        <f t="shared" si="122"/>
        <v>216.5</v>
      </c>
      <c r="AD299" s="88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</row>
    <row r="300" spans="1:256" ht="30" customHeight="1" x14ac:dyDescent="0.25">
      <c r="A300" s="229">
        <v>816800.82</v>
      </c>
      <c r="B300" s="232" t="s">
        <v>117</v>
      </c>
      <c r="C300" s="194">
        <v>35000</v>
      </c>
      <c r="D300" s="187"/>
      <c r="E300" s="202">
        <v>9000</v>
      </c>
      <c r="F300" s="194">
        <v>60000</v>
      </c>
      <c r="G300" s="188">
        <v>50000</v>
      </c>
      <c r="H300" s="195">
        <v>21828</v>
      </c>
      <c r="I300" s="188">
        <v>30939</v>
      </c>
      <c r="J300" s="189"/>
      <c r="K300" s="189">
        <f>I300*4/3</f>
        <v>41252</v>
      </c>
      <c r="L300" s="189">
        <v>13492</v>
      </c>
      <c r="M300" s="189">
        <f t="shared" si="100"/>
        <v>6746</v>
      </c>
      <c r="N300" s="188">
        <v>50000</v>
      </c>
      <c r="O300" s="188">
        <v>50000</v>
      </c>
      <c r="P300" s="188">
        <f>L300+M300</f>
        <v>20238</v>
      </c>
      <c r="Q300" s="188">
        <v>50000</v>
      </c>
      <c r="R300" s="188">
        <v>0</v>
      </c>
      <c r="S300" s="188">
        <v>30000</v>
      </c>
      <c r="T300" s="188">
        <v>30000</v>
      </c>
      <c r="U300" s="188">
        <v>39657</v>
      </c>
      <c r="V300" s="190">
        <f t="shared" si="110"/>
        <v>47588.4</v>
      </c>
      <c r="W300" s="188">
        <v>40000</v>
      </c>
      <c r="X300" s="188">
        <v>30683</v>
      </c>
      <c r="Y300" s="188">
        <v>40000</v>
      </c>
      <c r="Z300" s="188">
        <f>Y300</f>
        <v>40000</v>
      </c>
      <c r="AA300" s="198">
        <v>40000</v>
      </c>
      <c r="AB300" s="198">
        <v>40000</v>
      </c>
      <c r="AC300" s="196"/>
      <c r="AD300" s="88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</row>
    <row r="301" spans="1:256" ht="30" customHeight="1" x14ac:dyDescent="0.25">
      <c r="A301" s="229">
        <v>816810.82</v>
      </c>
      <c r="B301" s="232" t="s">
        <v>672</v>
      </c>
      <c r="C301" s="194"/>
      <c r="D301" s="187"/>
      <c r="E301" s="202"/>
      <c r="F301" s="194"/>
      <c r="G301" s="188"/>
      <c r="H301" s="195"/>
      <c r="I301" s="188"/>
      <c r="J301" s="189"/>
      <c r="K301" s="189"/>
      <c r="L301" s="189"/>
      <c r="M301" s="189"/>
      <c r="N301" s="188"/>
      <c r="O301" s="188"/>
      <c r="P301" s="188"/>
      <c r="Q301" s="188"/>
      <c r="R301" s="188"/>
      <c r="S301" s="188"/>
      <c r="T301" s="188"/>
      <c r="U301" s="188"/>
      <c r="V301" s="190"/>
      <c r="W301" s="188"/>
      <c r="X301" s="188"/>
      <c r="Y301" s="188"/>
      <c r="Z301" s="188">
        <v>400000</v>
      </c>
      <c r="AA301" s="198">
        <v>400000</v>
      </c>
      <c r="AB301" s="198">
        <v>400000</v>
      </c>
      <c r="AC301" s="196"/>
      <c r="AD301" s="88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</row>
    <row r="302" spans="1:256" ht="30" customHeight="1" x14ac:dyDescent="0.25">
      <c r="A302" s="222"/>
      <c r="B302" s="275" t="s">
        <v>118</v>
      </c>
      <c r="C302" s="211">
        <f t="shared" ref="C302:Y302" si="123">SUM(C300:C300)</f>
        <v>35000</v>
      </c>
      <c r="D302" s="211">
        <f t="shared" si="123"/>
        <v>0</v>
      </c>
      <c r="E302" s="211">
        <f t="shared" si="123"/>
        <v>9000</v>
      </c>
      <c r="F302" s="211">
        <f t="shared" si="123"/>
        <v>60000</v>
      </c>
      <c r="G302" s="212">
        <f t="shared" si="123"/>
        <v>50000</v>
      </c>
      <c r="H302" s="212">
        <f t="shared" si="123"/>
        <v>21828</v>
      </c>
      <c r="I302" s="212">
        <f t="shared" si="123"/>
        <v>30939</v>
      </c>
      <c r="J302" s="213">
        <f t="shared" si="123"/>
        <v>0</v>
      </c>
      <c r="K302" s="213">
        <f t="shared" si="123"/>
        <v>41252</v>
      </c>
      <c r="L302" s="213">
        <f t="shared" si="123"/>
        <v>13492</v>
      </c>
      <c r="M302" s="213">
        <f t="shared" si="123"/>
        <v>6746</v>
      </c>
      <c r="N302" s="212">
        <f t="shared" si="123"/>
        <v>50000</v>
      </c>
      <c r="O302" s="212">
        <f t="shared" si="123"/>
        <v>50000</v>
      </c>
      <c r="P302" s="212">
        <f t="shared" si="123"/>
        <v>20238</v>
      </c>
      <c r="Q302" s="212">
        <f t="shared" si="123"/>
        <v>50000</v>
      </c>
      <c r="R302" s="212">
        <f t="shared" si="123"/>
        <v>0</v>
      </c>
      <c r="S302" s="212">
        <f t="shared" si="123"/>
        <v>30000</v>
      </c>
      <c r="T302" s="212">
        <f t="shared" si="123"/>
        <v>30000</v>
      </c>
      <c r="U302" s="212">
        <f t="shared" si="123"/>
        <v>39657</v>
      </c>
      <c r="V302" s="212">
        <f t="shared" si="123"/>
        <v>47588.4</v>
      </c>
      <c r="W302" s="212">
        <f t="shared" si="123"/>
        <v>40000</v>
      </c>
      <c r="X302" s="212">
        <f t="shared" si="123"/>
        <v>30683</v>
      </c>
      <c r="Y302" s="212">
        <f t="shared" si="123"/>
        <v>40000</v>
      </c>
      <c r="Z302" s="212">
        <f>SUM(Z300:Z301)</f>
        <v>440000</v>
      </c>
      <c r="AA302" s="211">
        <f>SUM(AA300:AA301)</f>
        <v>440000</v>
      </c>
      <c r="AB302" s="211">
        <f>SUM(AB300:AB301)</f>
        <v>440000</v>
      </c>
      <c r="AC302" s="212">
        <f>SUM(AC300:AC300)</f>
        <v>0</v>
      </c>
      <c r="AD302" s="88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</row>
    <row r="303" spans="1:256" ht="30" customHeight="1" x14ac:dyDescent="0.25">
      <c r="A303" s="229">
        <v>817100.75</v>
      </c>
      <c r="B303" s="278" t="s">
        <v>461</v>
      </c>
      <c r="C303" s="234"/>
      <c r="D303" s="235"/>
      <c r="E303" s="234"/>
      <c r="F303" s="234"/>
      <c r="G303" s="236">
        <v>0</v>
      </c>
      <c r="H303" s="237"/>
      <c r="I303" s="236">
        <v>0</v>
      </c>
      <c r="J303" s="189"/>
      <c r="K303" s="189">
        <v>0</v>
      </c>
      <c r="L303" s="189">
        <v>0</v>
      </c>
      <c r="M303" s="189">
        <f t="shared" si="100"/>
        <v>0</v>
      </c>
      <c r="N303" s="236">
        <v>264810</v>
      </c>
      <c r="O303" s="236">
        <v>128100</v>
      </c>
      <c r="P303" s="188">
        <f>L303+M303</f>
        <v>0</v>
      </c>
      <c r="Q303" s="188">
        <f>O303</f>
        <v>128100</v>
      </c>
      <c r="R303" s="188">
        <v>145161</v>
      </c>
      <c r="S303" s="188">
        <f t="shared" ref="S303:S309" si="124">R303*2</f>
        <v>290322</v>
      </c>
      <c r="T303" s="188">
        <v>290322</v>
      </c>
      <c r="U303" s="188">
        <v>343282</v>
      </c>
      <c r="V303" s="190">
        <f t="shared" si="110"/>
        <v>411938.4</v>
      </c>
      <c r="W303" s="188">
        <v>607603</v>
      </c>
      <c r="X303" s="188">
        <v>343365</v>
      </c>
      <c r="Y303" s="188">
        <v>412000</v>
      </c>
      <c r="Z303" s="188">
        <f>Y303</f>
        <v>412000</v>
      </c>
      <c r="AA303" s="198">
        <v>743000</v>
      </c>
      <c r="AB303" s="205">
        <v>743000</v>
      </c>
      <c r="AC303" s="238"/>
      <c r="AD303" s="88" t="s">
        <v>699</v>
      </c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</row>
    <row r="304" spans="1:256" ht="30" customHeight="1" x14ac:dyDescent="0.25">
      <c r="A304" s="227">
        <v>817200.11</v>
      </c>
      <c r="B304" s="232" t="s">
        <v>369</v>
      </c>
      <c r="C304" s="194">
        <v>120000</v>
      </c>
      <c r="D304" s="187"/>
      <c r="E304" s="202">
        <v>133966</v>
      </c>
      <c r="F304" s="194">
        <v>137000</v>
      </c>
      <c r="G304" s="188">
        <v>159690</v>
      </c>
      <c r="H304" s="195">
        <v>116844</v>
      </c>
      <c r="I304" s="188">
        <v>121845</v>
      </c>
      <c r="J304" s="189"/>
      <c r="K304" s="189">
        <f t="shared" ref="K304:K319" si="125">I304*4/3</f>
        <v>162460</v>
      </c>
      <c r="L304" s="189">
        <v>97070</v>
      </c>
      <c r="M304" s="189">
        <f>L304/7*5</f>
        <v>69335.71428571429</v>
      </c>
      <c r="N304" s="190">
        <v>154330</v>
      </c>
      <c r="O304" s="190">
        <v>157600</v>
      </c>
      <c r="P304" s="190">
        <f>M304+L304</f>
        <v>166405.71428571429</v>
      </c>
      <c r="Q304" s="190">
        <f>O304*1.045</f>
        <v>164692</v>
      </c>
      <c r="R304" s="190">
        <f>86790.77*0.98</f>
        <v>85054.954599999997</v>
      </c>
      <c r="S304" s="190">
        <f t="shared" si="124"/>
        <v>170109.90919999999</v>
      </c>
      <c r="T304" s="190">
        <f>S304</f>
        <v>170109.90919999999</v>
      </c>
      <c r="U304" s="190">
        <v>142464</v>
      </c>
      <c r="V304" s="190">
        <f t="shared" si="110"/>
        <v>170956.79999999999</v>
      </c>
      <c r="W304" s="190">
        <v>173000</v>
      </c>
      <c r="X304" s="190">
        <v>144843</v>
      </c>
      <c r="Y304" s="190">
        <v>173000</v>
      </c>
      <c r="Z304" s="190">
        <v>175000</v>
      </c>
      <c r="AA304" s="191">
        <v>183000</v>
      </c>
      <c r="AB304" s="191">
        <v>176000</v>
      </c>
      <c r="AC304" s="196">
        <v>1.6</v>
      </c>
      <c r="AD304" s="88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</row>
    <row r="305" spans="1:256" ht="30" customHeight="1" x14ac:dyDescent="0.25">
      <c r="A305" s="228">
        <v>817200.41</v>
      </c>
      <c r="B305" s="232" t="s">
        <v>119</v>
      </c>
      <c r="C305" s="194">
        <v>82000</v>
      </c>
      <c r="D305" s="187"/>
      <c r="E305" s="202">
        <v>58493</v>
      </c>
      <c r="F305" s="194">
        <v>80000</v>
      </c>
      <c r="G305" s="188">
        <v>60000</v>
      </c>
      <c r="H305" s="195">
        <v>60000</v>
      </c>
      <c r="I305" s="188">
        <v>61698</v>
      </c>
      <c r="J305" s="189"/>
      <c r="K305" s="189">
        <f t="shared" si="125"/>
        <v>82264</v>
      </c>
      <c r="L305" s="189">
        <v>47294</v>
      </c>
      <c r="M305" s="189">
        <v>47294</v>
      </c>
      <c r="N305" s="188">
        <v>62000</v>
      </c>
      <c r="O305" s="188">
        <v>63300</v>
      </c>
      <c r="P305" s="188">
        <f t="shared" ref="P305:P308" si="126">L305+M305</f>
        <v>94588</v>
      </c>
      <c r="Q305" s="188">
        <f>O305</f>
        <v>63300</v>
      </c>
      <c r="R305" s="188">
        <v>32292</v>
      </c>
      <c r="S305" s="188">
        <f t="shared" si="124"/>
        <v>64584</v>
      </c>
      <c r="T305" s="188">
        <v>64584</v>
      </c>
      <c r="U305" s="188">
        <v>65092</v>
      </c>
      <c r="V305" s="190">
        <f t="shared" si="110"/>
        <v>78110.399999999994</v>
      </c>
      <c r="W305" s="188">
        <v>66000</v>
      </c>
      <c r="X305" s="188">
        <v>66384</v>
      </c>
      <c r="Y305" s="188">
        <v>66000</v>
      </c>
      <c r="Z305" s="188">
        <f t="shared" ref="Z305:Z325" si="127">Y305</f>
        <v>66000</v>
      </c>
      <c r="AA305" s="198">
        <v>75000</v>
      </c>
      <c r="AB305" s="198">
        <v>75000</v>
      </c>
      <c r="AC305" s="196"/>
      <c r="AD305" s="88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</row>
    <row r="306" spans="1:256" ht="30" customHeight="1" x14ac:dyDescent="0.25">
      <c r="A306" s="228">
        <v>817200.43099999998</v>
      </c>
      <c r="B306" s="232" t="s">
        <v>120</v>
      </c>
      <c r="C306" s="194">
        <v>14000</v>
      </c>
      <c r="D306" s="187"/>
      <c r="E306" s="202">
        <v>13000</v>
      </c>
      <c r="F306" s="194">
        <v>15000</v>
      </c>
      <c r="G306" s="188">
        <v>17000</v>
      </c>
      <c r="H306" s="195">
        <v>12605</v>
      </c>
      <c r="I306" s="188">
        <v>11333</v>
      </c>
      <c r="J306" s="189"/>
      <c r="K306" s="189">
        <f t="shared" si="125"/>
        <v>15110.666666666666</v>
      </c>
      <c r="L306" s="189">
        <v>8815</v>
      </c>
      <c r="M306" s="189">
        <v>8815</v>
      </c>
      <c r="N306" s="188">
        <v>15000</v>
      </c>
      <c r="O306" s="188">
        <v>15000</v>
      </c>
      <c r="P306" s="188">
        <f t="shared" si="126"/>
        <v>17630</v>
      </c>
      <c r="Q306" s="188">
        <f>O306</f>
        <v>15000</v>
      </c>
      <c r="R306" s="188">
        <v>5944</v>
      </c>
      <c r="S306" s="188">
        <f t="shared" si="124"/>
        <v>11888</v>
      </c>
      <c r="T306" s="188">
        <f>Q306</f>
        <v>15000</v>
      </c>
      <c r="U306" s="188">
        <v>17806</v>
      </c>
      <c r="V306" s="190">
        <f t="shared" si="110"/>
        <v>21367.200000000001</v>
      </c>
      <c r="W306" s="188">
        <v>20000</v>
      </c>
      <c r="X306" s="188">
        <v>14570</v>
      </c>
      <c r="Y306" s="188">
        <v>17000</v>
      </c>
      <c r="Z306" s="188">
        <f t="shared" si="127"/>
        <v>17000</v>
      </c>
      <c r="AA306" s="198">
        <v>15000</v>
      </c>
      <c r="AB306" s="198">
        <v>15000</v>
      </c>
      <c r="AC306" s="196"/>
      <c r="AD306" s="88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</row>
    <row r="307" spans="1:256" ht="30" customHeight="1" x14ac:dyDescent="0.25">
      <c r="A307" s="228">
        <v>817200.54</v>
      </c>
      <c r="B307" s="232" t="s">
        <v>121</v>
      </c>
      <c r="C307" s="194">
        <v>5000</v>
      </c>
      <c r="D307" s="187"/>
      <c r="E307" s="202">
        <v>8000</v>
      </c>
      <c r="F307" s="194">
        <v>8000</v>
      </c>
      <c r="G307" s="188">
        <v>7500</v>
      </c>
      <c r="H307" s="195">
        <v>5187</v>
      </c>
      <c r="I307" s="188">
        <v>3838</v>
      </c>
      <c r="J307" s="189"/>
      <c r="K307" s="189">
        <f t="shared" si="125"/>
        <v>5117.333333333333</v>
      </c>
      <c r="L307" s="189">
        <v>2040</v>
      </c>
      <c r="M307" s="189">
        <f>L307/8*4</f>
        <v>1020</v>
      </c>
      <c r="N307" s="188">
        <v>5000</v>
      </c>
      <c r="O307" s="188">
        <v>5000</v>
      </c>
      <c r="P307" s="188">
        <f t="shared" si="126"/>
        <v>3060</v>
      </c>
      <c r="Q307" s="188">
        <f>O307</f>
        <v>5000</v>
      </c>
      <c r="R307" s="188">
        <v>850</v>
      </c>
      <c r="S307" s="188">
        <f t="shared" si="124"/>
        <v>1700</v>
      </c>
      <c r="T307" s="188">
        <f>Q307</f>
        <v>5000</v>
      </c>
      <c r="U307" s="188">
        <v>1479</v>
      </c>
      <c r="V307" s="190">
        <f t="shared" si="110"/>
        <v>1774.8</v>
      </c>
      <c r="W307" s="188">
        <v>3000</v>
      </c>
      <c r="X307" s="188">
        <v>1456</v>
      </c>
      <c r="Y307" s="188">
        <v>2000</v>
      </c>
      <c r="Z307" s="188">
        <f t="shared" si="127"/>
        <v>2000</v>
      </c>
      <c r="AA307" s="198">
        <v>2000</v>
      </c>
      <c r="AB307" s="198">
        <v>2000</v>
      </c>
      <c r="AC307" s="196"/>
      <c r="AD307" s="88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</row>
    <row r="308" spans="1:256" ht="30" customHeight="1" x14ac:dyDescent="0.25">
      <c r="A308" s="228">
        <v>817200.78</v>
      </c>
      <c r="B308" s="232" t="s">
        <v>122</v>
      </c>
      <c r="C308" s="194">
        <v>5000</v>
      </c>
      <c r="D308" s="187"/>
      <c r="E308" s="202">
        <v>4000</v>
      </c>
      <c r="F308" s="194">
        <v>5000</v>
      </c>
      <c r="G308" s="188">
        <v>8000</v>
      </c>
      <c r="H308" s="195">
        <v>4313</v>
      </c>
      <c r="I308" s="188">
        <v>7412</v>
      </c>
      <c r="J308" s="189"/>
      <c r="K308" s="189">
        <f t="shared" si="125"/>
        <v>9882.6666666666661</v>
      </c>
      <c r="L308" s="189">
        <v>1149</v>
      </c>
      <c r="M308" s="189">
        <f>L308/8*4</f>
        <v>574.5</v>
      </c>
      <c r="N308" s="188">
        <v>10000</v>
      </c>
      <c r="O308" s="188">
        <v>2200</v>
      </c>
      <c r="P308" s="188">
        <f t="shared" si="126"/>
        <v>1723.5</v>
      </c>
      <c r="Q308" s="188">
        <f>O308</f>
        <v>2200</v>
      </c>
      <c r="R308" s="188">
        <v>0</v>
      </c>
      <c r="S308" s="188">
        <f t="shared" si="124"/>
        <v>0</v>
      </c>
      <c r="T308" s="188">
        <f>Q308</f>
        <v>2200</v>
      </c>
      <c r="U308" s="188">
        <v>5530</v>
      </c>
      <c r="V308" s="190">
        <f t="shared" si="110"/>
        <v>6636</v>
      </c>
      <c r="W308" s="188">
        <v>5000</v>
      </c>
      <c r="X308" s="188">
        <v>5275</v>
      </c>
      <c r="Y308" s="188">
        <v>6000</v>
      </c>
      <c r="Z308" s="188">
        <f t="shared" si="127"/>
        <v>6000</v>
      </c>
      <c r="AA308" s="198"/>
      <c r="AB308" s="198"/>
      <c r="AC308" s="196"/>
      <c r="AD308" s="88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</row>
    <row r="309" spans="1:256" ht="30" customHeight="1" x14ac:dyDescent="0.25">
      <c r="A309" s="227">
        <v>817300.11</v>
      </c>
      <c r="B309" s="232" t="s">
        <v>123</v>
      </c>
      <c r="C309" s="194">
        <v>1200000</v>
      </c>
      <c r="D309" s="187"/>
      <c r="E309" s="202">
        <v>1107185</v>
      </c>
      <c r="F309" s="194">
        <v>1117000</v>
      </c>
      <c r="G309" s="188">
        <v>1238175</v>
      </c>
      <c r="H309" s="195">
        <v>905980</v>
      </c>
      <c r="I309" s="188">
        <v>968579</v>
      </c>
      <c r="J309" s="189"/>
      <c r="K309" s="189">
        <f t="shared" si="125"/>
        <v>1291438.6666666667</v>
      </c>
      <c r="L309" s="189">
        <v>810907</v>
      </c>
      <c r="M309" s="189">
        <f>L309/7*5</f>
        <v>579219.28571428568</v>
      </c>
      <c r="N309" s="190">
        <v>1276539</v>
      </c>
      <c r="O309" s="190">
        <v>1380700</v>
      </c>
      <c r="P309" s="190">
        <f>M309+L309</f>
        <v>1390126.2857142857</v>
      </c>
      <c r="Q309" s="190">
        <f>O309*1.045</f>
        <v>1442831.5</v>
      </c>
      <c r="R309" s="190">
        <f>725510.29*0.98</f>
        <v>711000.08420000004</v>
      </c>
      <c r="S309" s="190">
        <f t="shared" si="124"/>
        <v>1422000.1684000001</v>
      </c>
      <c r="T309" s="190">
        <f>S309</f>
        <v>1422000.1684000001</v>
      </c>
      <c r="U309" s="190">
        <v>1241460</v>
      </c>
      <c r="V309" s="190">
        <f t="shared" si="110"/>
        <v>1489752</v>
      </c>
      <c r="W309" s="190">
        <v>1536000</v>
      </c>
      <c r="X309" s="190">
        <f>Y309*10/12</f>
        <v>1420000</v>
      </c>
      <c r="Y309" s="190">
        <v>1704000</v>
      </c>
      <c r="Z309" s="190">
        <v>1600000</v>
      </c>
      <c r="AA309" s="191">
        <v>1650000</v>
      </c>
      <c r="AB309" s="191">
        <f>1956000+60000</f>
        <v>2016000</v>
      </c>
      <c r="AC309" s="239">
        <f>11.25+0.5</f>
        <v>11.75</v>
      </c>
      <c r="AD309" s="88"/>
      <c r="AE309" s="5">
        <v>6</v>
      </c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</row>
    <row r="310" spans="1:256" ht="30" customHeight="1" x14ac:dyDescent="0.25">
      <c r="A310" s="229">
        <v>817300.41</v>
      </c>
      <c r="B310" s="232" t="s">
        <v>124</v>
      </c>
      <c r="C310" s="194">
        <v>32000</v>
      </c>
      <c r="D310" s="187"/>
      <c r="E310" s="202">
        <v>33590</v>
      </c>
      <c r="F310" s="194">
        <v>45000</v>
      </c>
      <c r="G310" s="188">
        <v>33000</v>
      </c>
      <c r="H310" s="195">
        <v>24410</v>
      </c>
      <c r="I310" s="188">
        <v>23044</v>
      </c>
      <c r="J310" s="189"/>
      <c r="K310" s="189">
        <f t="shared" si="125"/>
        <v>30725.333333333332</v>
      </c>
      <c r="L310" s="189">
        <v>16290</v>
      </c>
      <c r="M310" s="189">
        <v>16290</v>
      </c>
      <c r="N310" s="188">
        <v>30000</v>
      </c>
      <c r="O310" s="188">
        <v>33300</v>
      </c>
      <c r="P310" s="188">
        <f t="shared" ref="P310:P315" si="128">L310+M310</f>
        <v>32580</v>
      </c>
      <c r="Q310" s="188">
        <f t="shared" ref="Q310:Q315" si="129">O310</f>
        <v>33300</v>
      </c>
      <c r="R310" s="188">
        <v>16008</v>
      </c>
      <c r="S310" s="188">
        <f t="shared" ref="S310:S315" si="130">R310*2</f>
        <v>32016</v>
      </c>
      <c r="T310" s="188">
        <f>Q310</f>
        <v>33300</v>
      </c>
      <c r="U310" s="188">
        <v>23958</v>
      </c>
      <c r="V310" s="190">
        <f t="shared" si="110"/>
        <v>28749.599999999999</v>
      </c>
      <c r="W310" s="188">
        <v>33300</v>
      </c>
      <c r="X310" s="188">
        <v>22640</v>
      </c>
      <c r="Y310" s="188">
        <v>30000</v>
      </c>
      <c r="Z310" s="188">
        <f t="shared" si="127"/>
        <v>30000</v>
      </c>
      <c r="AA310" s="198">
        <v>25000</v>
      </c>
      <c r="AB310" s="198">
        <v>25000</v>
      </c>
      <c r="AC310" s="196"/>
      <c r="AD310" s="88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</row>
    <row r="311" spans="1:256" ht="30" customHeight="1" x14ac:dyDescent="0.25">
      <c r="A311" s="229">
        <v>817300.43099999998</v>
      </c>
      <c r="B311" s="232" t="s">
        <v>125</v>
      </c>
      <c r="C311" s="194">
        <v>7000</v>
      </c>
      <c r="D311" s="187"/>
      <c r="E311" s="202">
        <v>4727</v>
      </c>
      <c r="F311" s="194">
        <v>6000</v>
      </c>
      <c r="G311" s="188">
        <v>10000</v>
      </c>
      <c r="H311" s="195">
        <v>3810</v>
      </c>
      <c r="I311" s="188">
        <v>3672</v>
      </c>
      <c r="J311" s="189"/>
      <c r="K311" s="189">
        <f t="shared" si="125"/>
        <v>4896</v>
      </c>
      <c r="L311" s="189">
        <v>5001</v>
      </c>
      <c r="M311" s="189">
        <f>L311/8*4</f>
        <v>2500.5</v>
      </c>
      <c r="N311" s="188">
        <v>5000</v>
      </c>
      <c r="O311" s="188">
        <v>7000</v>
      </c>
      <c r="P311" s="188">
        <f t="shared" si="128"/>
        <v>7501.5</v>
      </c>
      <c r="Q311" s="188">
        <f t="shared" si="129"/>
        <v>7000</v>
      </c>
      <c r="R311" s="188">
        <v>2444</v>
      </c>
      <c r="S311" s="188">
        <f t="shared" si="130"/>
        <v>4888</v>
      </c>
      <c r="T311" s="188">
        <f>Q311</f>
        <v>7000</v>
      </c>
      <c r="U311" s="188">
        <v>5115</v>
      </c>
      <c r="V311" s="190">
        <f t="shared" si="110"/>
        <v>6138</v>
      </c>
      <c r="W311" s="188">
        <v>7000</v>
      </c>
      <c r="X311" s="188">
        <v>3567</v>
      </c>
      <c r="Y311" s="188">
        <v>6000</v>
      </c>
      <c r="Z311" s="188">
        <f t="shared" si="127"/>
        <v>6000</v>
      </c>
      <c r="AA311" s="198">
        <v>3000</v>
      </c>
      <c r="AB311" s="198">
        <v>3000</v>
      </c>
      <c r="AC311" s="196"/>
      <c r="AD311" s="88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</row>
    <row r="312" spans="1:256" ht="30" customHeight="1" x14ac:dyDescent="0.25">
      <c r="A312" s="229">
        <v>817300.52099999995</v>
      </c>
      <c r="B312" s="232" t="s">
        <v>126</v>
      </c>
      <c r="C312" s="194">
        <v>5000</v>
      </c>
      <c r="D312" s="187"/>
      <c r="E312" s="202">
        <v>13900</v>
      </c>
      <c r="F312" s="194">
        <v>6000</v>
      </c>
      <c r="G312" s="188">
        <v>25000</v>
      </c>
      <c r="H312" s="195">
        <v>18816</v>
      </c>
      <c r="I312" s="188">
        <v>21870</v>
      </c>
      <c r="J312" s="189"/>
      <c r="K312" s="189">
        <f t="shared" si="125"/>
        <v>29160</v>
      </c>
      <c r="L312" s="189">
        <v>24721</v>
      </c>
      <c r="M312" s="189">
        <v>24721</v>
      </c>
      <c r="N312" s="188">
        <v>29000</v>
      </c>
      <c r="O312" s="188">
        <v>29000</v>
      </c>
      <c r="P312" s="188">
        <f t="shared" si="128"/>
        <v>49442</v>
      </c>
      <c r="Q312" s="188">
        <f t="shared" si="129"/>
        <v>29000</v>
      </c>
      <c r="R312" s="188">
        <v>16250</v>
      </c>
      <c r="S312" s="188">
        <f t="shared" si="130"/>
        <v>32500</v>
      </c>
      <c r="T312" s="188">
        <v>32500</v>
      </c>
      <c r="U312" s="188">
        <v>26305</v>
      </c>
      <c r="V312" s="190">
        <f t="shared" si="110"/>
        <v>31566</v>
      </c>
      <c r="W312" s="188">
        <v>30000</v>
      </c>
      <c r="X312" s="188">
        <v>42475</v>
      </c>
      <c r="Y312" s="188">
        <v>77000</v>
      </c>
      <c r="Z312" s="188">
        <f t="shared" si="127"/>
        <v>77000</v>
      </c>
      <c r="AA312" s="198">
        <v>55000</v>
      </c>
      <c r="AB312" s="198">
        <v>55000</v>
      </c>
      <c r="AC312" s="196"/>
      <c r="AD312" s="88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</row>
    <row r="313" spans="1:256" ht="30" customHeight="1" x14ac:dyDescent="0.25">
      <c r="A313" s="229">
        <v>817300.54</v>
      </c>
      <c r="B313" s="232" t="s">
        <v>127</v>
      </c>
      <c r="C313" s="194">
        <v>8000</v>
      </c>
      <c r="D313" s="187"/>
      <c r="E313" s="202">
        <v>7200</v>
      </c>
      <c r="F313" s="194">
        <v>8000</v>
      </c>
      <c r="G313" s="188">
        <v>8000</v>
      </c>
      <c r="H313" s="195">
        <v>5957</v>
      </c>
      <c r="I313" s="188">
        <v>3431</v>
      </c>
      <c r="J313" s="189"/>
      <c r="K313" s="189">
        <f t="shared" si="125"/>
        <v>4574.666666666667</v>
      </c>
      <c r="L313" s="189">
        <v>2289</v>
      </c>
      <c r="M313" s="189">
        <f>L313/8*4</f>
        <v>1144.5</v>
      </c>
      <c r="N313" s="188">
        <v>5000</v>
      </c>
      <c r="O313" s="188">
        <v>4000</v>
      </c>
      <c r="P313" s="188">
        <f t="shared" si="128"/>
        <v>3433.5</v>
      </c>
      <c r="Q313" s="188">
        <f t="shared" si="129"/>
        <v>4000</v>
      </c>
      <c r="R313" s="188">
        <v>1804</v>
      </c>
      <c r="S313" s="188">
        <f t="shared" si="130"/>
        <v>3608</v>
      </c>
      <c r="T313" s="188">
        <f>Q313</f>
        <v>4000</v>
      </c>
      <c r="U313" s="188">
        <v>2813</v>
      </c>
      <c r="V313" s="190">
        <f t="shared" si="110"/>
        <v>3375.6</v>
      </c>
      <c r="W313" s="188">
        <v>3500</v>
      </c>
      <c r="X313" s="188">
        <v>1377</v>
      </c>
      <c r="Y313" s="188">
        <v>2000</v>
      </c>
      <c r="Z313" s="188">
        <f t="shared" si="127"/>
        <v>2000</v>
      </c>
      <c r="AA313" s="198">
        <v>1000</v>
      </c>
      <c r="AB313" s="198">
        <v>1000</v>
      </c>
      <c r="AC313" s="196"/>
      <c r="AD313" s="88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</row>
    <row r="314" spans="1:256" ht="30" customHeight="1" x14ac:dyDescent="0.25">
      <c r="A314" s="229">
        <v>817300.78</v>
      </c>
      <c r="B314" s="232" t="s">
        <v>219</v>
      </c>
      <c r="C314" s="194">
        <v>21000</v>
      </c>
      <c r="D314" s="187"/>
      <c r="E314" s="202">
        <v>51151</v>
      </c>
      <c r="F314" s="194">
        <v>30000</v>
      </c>
      <c r="G314" s="188">
        <v>20000</v>
      </c>
      <c r="H314" s="195">
        <v>15000</v>
      </c>
      <c r="I314" s="188">
        <v>6047</v>
      </c>
      <c r="J314" s="189"/>
      <c r="K314" s="189">
        <f t="shared" si="125"/>
        <v>8062.666666666667</v>
      </c>
      <c r="L314" s="189">
        <v>4310</v>
      </c>
      <c r="M314" s="189">
        <f>L314/8*4</f>
        <v>2155</v>
      </c>
      <c r="N314" s="188">
        <v>8000</v>
      </c>
      <c r="O314" s="188">
        <v>8000</v>
      </c>
      <c r="P314" s="188">
        <f t="shared" si="128"/>
        <v>6465</v>
      </c>
      <c r="Q314" s="188">
        <f t="shared" si="129"/>
        <v>8000</v>
      </c>
      <c r="R314" s="188">
        <v>0</v>
      </c>
      <c r="S314" s="188">
        <f t="shared" si="130"/>
        <v>0</v>
      </c>
      <c r="T314" s="188">
        <v>4000</v>
      </c>
      <c r="U314" s="188">
        <v>3233</v>
      </c>
      <c r="V314" s="190">
        <f t="shared" si="110"/>
        <v>3879.6</v>
      </c>
      <c r="W314" s="188">
        <v>4500</v>
      </c>
      <c r="X314" s="188">
        <v>1026</v>
      </c>
      <c r="Y314" s="188">
        <v>1500</v>
      </c>
      <c r="Z314" s="188">
        <f t="shared" si="127"/>
        <v>1500</v>
      </c>
      <c r="AA314" s="198">
        <v>6000</v>
      </c>
      <c r="AB314" s="198">
        <v>6000</v>
      </c>
      <c r="AC314" s="196"/>
      <c r="AD314" s="88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</row>
    <row r="315" spans="1:256" ht="30" customHeight="1" x14ac:dyDescent="0.25">
      <c r="A315" s="229">
        <v>817500.44</v>
      </c>
      <c r="B315" s="232" t="s">
        <v>128</v>
      </c>
      <c r="C315" s="202">
        <v>400000</v>
      </c>
      <c r="D315" s="187"/>
      <c r="E315" s="202">
        <v>655315</v>
      </c>
      <c r="F315" s="202">
        <v>650000</v>
      </c>
      <c r="G315" s="188">
        <v>650000</v>
      </c>
      <c r="H315" s="204">
        <f>311500+156000</f>
        <v>467500</v>
      </c>
      <c r="I315" s="188">
        <v>431695</v>
      </c>
      <c r="J315" s="189"/>
      <c r="K315" s="189">
        <f t="shared" si="125"/>
        <v>575593.33333333337</v>
      </c>
      <c r="L315" s="189">
        <v>339057</v>
      </c>
      <c r="M315" s="189">
        <v>200000</v>
      </c>
      <c r="N315" s="188">
        <v>640000</v>
      </c>
      <c r="O315" s="188">
        <v>640000</v>
      </c>
      <c r="P315" s="188">
        <f t="shared" si="128"/>
        <v>539057</v>
      </c>
      <c r="Q315" s="188">
        <f t="shared" si="129"/>
        <v>640000</v>
      </c>
      <c r="R315" s="188">
        <v>468194</v>
      </c>
      <c r="S315" s="188">
        <f t="shared" si="130"/>
        <v>936388</v>
      </c>
      <c r="T315" s="188">
        <v>936388</v>
      </c>
      <c r="U315" s="188">
        <v>636628</v>
      </c>
      <c r="V315" s="190">
        <f t="shared" si="110"/>
        <v>763953.6</v>
      </c>
      <c r="W315" s="188">
        <v>935000</v>
      </c>
      <c r="X315" s="188">
        <v>701201</v>
      </c>
      <c r="Y315" s="188">
        <v>935000</v>
      </c>
      <c r="Z315" s="188">
        <v>535000</v>
      </c>
      <c r="AA315" s="198">
        <v>530000</v>
      </c>
      <c r="AB315" s="198">
        <v>530000</v>
      </c>
      <c r="AC315" s="196"/>
      <c r="AD315" s="88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</row>
    <row r="316" spans="1:256" ht="30" customHeight="1" x14ac:dyDescent="0.25">
      <c r="A316" s="227">
        <v>817700.11</v>
      </c>
      <c r="B316" s="233" t="s">
        <v>129</v>
      </c>
      <c r="C316" s="202">
        <v>350000</v>
      </c>
      <c r="D316" s="203"/>
      <c r="E316" s="202">
        <v>286714</v>
      </c>
      <c r="F316" s="202">
        <v>295000</v>
      </c>
      <c r="G316" s="189">
        <v>317500</v>
      </c>
      <c r="H316" s="204">
        <v>188404</v>
      </c>
      <c r="I316" s="189">
        <v>252139</v>
      </c>
      <c r="J316" s="189"/>
      <c r="K316" s="189">
        <f t="shared" si="125"/>
        <v>336185.33333333331</v>
      </c>
      <c r="L316" s="189">
        <v>236692</v>
      </c>
      <c r="M316" s="189">
        <f>L316/7*5</f>
        <v>169065.71428571426</v>
      </c>
      <c r="N316" s="190">
        <v>325183</v>
      </c>
      <c r="O316" s="190">
        <v>398200</v>
      </c>
      <c r="P316" s="190">
        <f>M316+L316</f>
        <v>405757.71428571426</v>
      </c>
      <c r="Q316" s="190">
        <f>O316*1.045</f>
        <v>416119</v>
      </c>
      <c r="R316" s="190">
        <f>240560.7*0.98</f>
        <v>235749.486</v>
      </c>
      <c r="S316" s="190">
        <f>R316*2</f>
        <v>471498.97200000001</v>
      </c>
      <c r="T316" s="190">
        <f>S316</f>
        <v>471498.97200000001</v>
      </c>
      <c r="U316" s="190">
        <v>413201</v>
      </c>
      <c r="V316" s="190">
        <f t="shared" si="110"/>
        <v>495841.2</v>
      </c>
      <c r="W316" s="190">
        <v>580000</v>
      </c>
      <c r="X316" s="190">
        <v>425138</v>
      </c>
      <c r="Y316" s="190">
        <v>505000</v>
      </c>
      <c r="Z316" s="190">
        <f>515000+207200</f>
        <v>722200</v>
      </c>
      <c r="AA316" s="191">
        <v>577000</v>
      </c>
      <c r="AB316" s="191">
        <v>802000</v>
      </c>
      <c r="AC316" s="239">
        <f>3.8+1</f>
        <v>4.8</v>
      </c>
      <c r="AD316" s="88" t="s">
        <v>699</v>
      </c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</row>
    <row r="317" spans="1:256" ht="30" customHeight="1" x14ac:dyDescent="0.25">
      <c r="A317" s="227">
        <v>817800.11</v>
      </c>
      <c r="B317" s="233" t="s">
        <v>707</v>
      </c>
      <c r="C317" s="202"/>
      <c r="D317" s="203"/>
      <c r="E317" s="202"/>
      <c r="F317" s="202"/>
      <c r="G317" s="189"/>
      <c r="H317" s="204"/>
      <c r="I317" s="189"/>
      <c r="J317" s="189"/>
      <c r="K317" s="189"/>
      <c r="L317" s="189"/>
      <c r="M317" s="189"/>
      <c r="N317" s="190"/>
      <c r="O317" s="190"/>
      <c r="P317" s="190"/>
      <c r="Q317" s="190"/>
      <c r="R317" s="190"/>
      <c r="S317" s="190"/>
      <c r="T317" s="190"/>
      <c r="U317" s="190"/>
      <c r="V317" s="190"/>
      <c r="W317" s="240"/>
      <c r="X317" s="240"/>
      <c r="Y317" s="240"/>
      <c r="Z317" s="190"/>
      <c r="AA317" s="191">
        <v>150000</v>
      </c>
      <c r="AB317" s="191">
        <v>517000</v>
      </c>
      <c r="AC317" s="239">
        <f>23/2</f>
        <v>11.5</v>
      </c>
      <c r="AD317" s="88"/>
      <c r="AE317" s="5">
        <v>9</v>
      </c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</row>
    <row r="318" spans="1:256" ht="30" customHeight="1" x14ac:dyDescent="0.25">
      <c r="A318" s="228">
        <v>817800.75</v>
      </c>
      <c r="B318" s="233" t="s">
        <v>130</v>
      </c>
      <c r="C318" s="202">
        <v>2500000</v>
      </c>
      <c r="D318" s="203"/>
      <c r="E318" s="202">
        <f>2407666+250000</f>
        <v>2657666</v>
      </c>
      <c r="F318" s="202">
        <v>2650000</v>
      </c>
      <c r="G318" s="189">
        <f>2432620-83000</f>
        <v>2349620</v>
      </c>
      <c r="H318" s="204">
        <f>1315821+620000</f>
        <v>1935821</v>
      </c>
      <c r="I318" s="189">
        <v>1588172</v>
      </c>
      <c r="J318" s="189"/>
      <c r="K318" s="189">
        <f t="shared" si="125"/>
        <v>2117562.6666666665</v>
      </c>
      <c r="L318" s="189">
        <v>1385320</v>
      </c>
      <c r="M318" s="189">
        <f>L318/8*4</f>
        <v>692660</v>
      </c>
      <c r="N318" s="189">
        <v>2120000</v>
      </c>
      <c r="O318" s="188">
        <v>2228800</v>
      </c>
      <c r="P318" s="188">
        <f>L318+M318</f>
        <v>2077980</v>
      </c>
      <c r="Q318" s="188">
        <f>O318+250000</f>
        <v>2478800</v>
      </c>
      <c r="R318" s="188">
        <f>1806735-115000</f>
        <v>1691735</v>
      </c>
      <c r="S318" s="188">
        <f>R318*2</f>
        <v>3383470</v>
      </c>
      <c r="T318" s="188">
        <f>Q318+904670</f>
        <v>3383470</v>
      </c>
      <c r="U318" s="188">
        <v>2468108</v>
      </c>
      <c r="V318" s="190">
        <f t="shared" si="110"/>
        <v>2961729.6</v>
      </c>
      <c r="W318" s="188">
        <v>3383470</v>
      </c>
      <c r="X318" s="188">
        <v>2562441</v>
      </c>
      <c r="Y318" s="188">
        <v>3300000</v>
      </c>
      <c r="Z318" s="188">
        <f t="shared" si="127"/>
        <v>3300000</v>
      </c>
      <c r="AA318" s="205">
        <f>3473000-150000</f>
        <v>3323000</v>
      </c>
      <c r="AB318" s="205">
        <v>2800000</v>
      </c>
      <c r="AC318" s="196"/>
      <c r="AD318" s="88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</row>
    <row r="319" spans="1:256" ht="30" customHeight="1" x14ac:dyDescent="0.25">
      <c r="A319" s="227">
        <v>817900.11</v>
      </c>
      <c r="B319" s="233" t="s">
        <v>435</v>
      </c>
      <c r="C319" s="202"/>
      <c r="D319" s="203"/>
      <c r="E319" s="202"/>
      <c r="F319" s="202"/>
      <c r="G319" s="189">
        <v>363206</v>
      </c>
      <c r="H319" s="204">
        <v>166984</v>
      </c>
      <c r="I319" s="189">
        <v>31592</v>
      </c>
      <c r="J319" s="189"/>
      <c r="K319" s="189">
        <f t="shared" si="125"/>
        <v>42122.666666666664</v>
      </c>
      <c r="L319" s="189">
        <v>38246</v>
      </c>
      <c r="M319" s="189">
        <f>L319/7*5</f>
        <v>27318.571428571428</v>
      </c>
      <c r="N319" s="190">
        <v>53090</v>
      </c>
      <c r="O319" s="190">
        <v>58300</v>
      </c>
      <c r="P319" s="190">
        <f>M319+L319</f>
        <v>65564.57142857142</v>
      </c>
      <c r="Q319" s="190">
        <f>O319*1.045</f>
        <v>60923.499999999993</v>
      </c>
      <c r="R319" s="190">
        <f>34862*0.98</f>
        <v>34164.76</v>
      </c>
      <c r="S319" s="190">
        <f>R319*2</f>
        <v>68329.52</v>
      </c>
      <c r="T319" s="190">
        <f>S319</f>
        <v>68329.52</v>
      </c>
      <c r="U319" s="190">
        <v>57183</v>
      </c>
      <c r="V319" s="190">
        <f t="shared" si="110"/>
        <v>68619.600000000006</v>
      </c>
      <c r="W319" s="190">
        <v>70000</v>
      </c>
      <c r="X319" s="190">
        <v>52532</v>
      </c>
      <c r="Y319" s="190">
        <v>60000</v>
      </c>
      <c r="Z319" s="190">
        <v>65000</v>
      </c>
      <c r="AA319" s="191">
        <v>54000</v>
      </c>
      <c r="AB319" s="191">
        <v>62000</v>
      </c>
      <c r="AC319" s="196">
        <v>0.5</v>
      </c>
      <c r="AD319" s="88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</row>
    <row r="320" spans="1:256" ht="30" customHeight="1" x14ac:dyDescent="0.25">
      <c r="A320" s="228">
        <v>817900.41</v>
      </c>
      <c r="B320" s="233" t="s">
        <v>470</v>
      </c>
      <c r="C320" s="202"/>
      <c r="D320" s="203"/>
      <c r="E320" s="202"/>
      <c r="F320" s="202"/>
      <c r="G320" s="189"/>
      <c r="H320" s="204"/>
      <c r="I320" s="189"/>
      <c r="J320" s="189"/>
      <c r="K320" s="189"/>
      <c r="L320" s="189">
        <v>9774</v>
      </c>
      <c r="M320" s="189">
        <v>9774</v>
      </c>
      <c r="N320" s="189">
        <v>0</v>
      </c>
      <c r="O320" s="188">
        <v>20000</v>
      </c>
      <c r="P320" s="188">
        <f t="shared" ref="P320:P325" si="131">L320+M320</f>
        <v>19548</v>
      </c>
      <c r="Q320" s="188">
        <f>O320</f>
        <v>20000</v>
      </c>
      <c r="R320" s="188">
        <v>9774</v>
      </c>
      <c r="S320" s="188">
        <f t="shared" ref="S320:S325" si="132">R320*2</f>
        <v>19548</v>
      </c>
      <c r="T320" s="188">
        <f>Q320</f>
        <v>20000</v>
      </c>
      <c r="U320" s="188">
        <v>14661</v>
      </c>
      <c r="V320" s="190">
        <f t="shared" ref="V320:V374" si="133">U320*12/10</f>
        <v>17593.2</v>
      </c>
      <c r="W320" s="188">
        <v>20000</v>
      </c>
      <c r="X320" s="188">
        <v>14661</v>
      </c>
      <c r="Y320" s="188">
        <v>20000</v>
      </c>
      <c r="Z320" s="188">
        <f t="shared" si="127"/>
        <v>20000</v>
      </c>
      <c r="AA320" s="198">
        <v>22000</v>
      </c>
      <c r="AB320" s="198">
        <v>22000</v>
      </c>
      <c r="AC320" s="196"/>
      <c r="AD320" s="88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</row>
    <row r="321" spans="1:256" ht="30" customHeight="1" x14ac:dyDescent="0.25">
      <c r="A321" s="228">
        <v>817900.78</v>
      </c>
      <c r="B321" s="233" t="s">
        <v>383</v>
      </c>
      <c r="C321" s="202">
        <v>20000</v>
      </c>
      <c r="D321" s="203"/>
      <c r="E321" s="202">
        <v>52335</v>
      </c>
      <c r="F321" s="202">
        <v>25000</v>
      </c>
      <c r="G321" s="189">
        <v>2000</v>
      </c>
      <c r="H321" s="204">
        <v>1457</v>
      </c>
      <c r="I321" s="189">
        <v>3297</v>
      </c>
      <c r="J321" s="189"/>
      <c r="K321" s="189">
        <f>I321*4/3</f>
        <v>4396</v>
      </c>
      <c r="L321" s="189">
        <v>29457</v>
      </c>
      <c r="M321" s="189">
        <v>3000</v>
      </c>
      <c r="N321" s="189">
        <v>4000</v>
      </c>
      <c r="O321" s="188">
        <v>29500</v>
      </c>
      <c r="P321" s="188">
        <f t="shared" si="131"/>
        <v>32457</v>
      </c>
      <c r="Q321" s="188">
        <f>O321</f>
        <v>29500</v>
      </c>
      <c r="R321" s="188">
        <v>17550</v>
      </c>
      <c r="S321" s="188">
        <f t="shared" si="132"/>
        <v>35100</v>
      </c>
      <c r="T321" s="188">
        <v>35100</v>
      </c>
      <c r="U321" s="188">
        <v>21451</v>
      </c>
      <c r="V321" s="190">
        <f t="shared" si="133"/>
        <v>25741.200000000001</v>
      </c>
      <c r="W321" s="188">
        <v>35000</v>
      </c>
      <c r="X321" s="188">
        <v>32674</v>
      </c>
      <c r="Y321" s="188">
        <v>35000</v>
      </c>
      <c r="Z321" s="188">
        <f t="shared" si="127"/>
        <v>35000</v>
      </c>
      <c r="AA321" s="198">
        <v>8000</v>
      </c>
      <c r="AB321" s="198">
        <v>8000</v>
      </c>
      <c r="AC321" s="196"/>
      <c r="AD321" s="88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</row>
    <row r="322" spans="1:256" ht="30" customHeight="1" x14ac:dyDescent="0.25">
      <c r="A322" s="228">
        <v>817900.82</v>
      </c>
      <c r="B322" s="233" t="s">
        <v>391</v>
      </c>
      <c r="C322" s="202">
        <v>5000</v>
      </c>
      <c r="D322" s="203"/>
      <c r="E322" s="202">
        <v>89900</v>
      </c>
      <c r="F322" s="202">
        <v>120000</v>
      </c>
      <c r="G322" s="189">
        <v>25000</v>
      </c>
      <c r="H322" s="204">
        <v>25000</v>
      </c>
      <c r="I322" s="189">
        <v>10970</v>
      </c>
      <c r="J322" s="189"/>
      <c r="K322" s="189">
        <f>I322*4/3</f>
        <v>14626.666666666666</v>
      </c>
      <c r="L322" s="189">
        <v>32500</v>
      </c>
      <c r="M322" s="189">
        <v>0</v>
      </c>
      <c r="N322" s="189">
        <v>16000</v>
      </c>
      <c r="O322" s="188">
        <v>32500</v>
      </c>
      <c r="P322" s="188">
        <f t="shared" si="131"/>
        <v>32500</v>
      </c>
      <c r="Q322" s="188">
        <f>O322</f>
        <v>32500</v>
      </c>
      <c r="R322" s="188">
        <v>35460</v>
      </c>
      <c r="S322" s="188">
        <f t="shared" si="132"/>
        <v>70920</v>
      </c>
      <c r="T322" s="188">
        <v>70920</v>
      </c>
      <c r="U322" s="188">
        <v>39460</v>
      </c>
      <c r="V322" s="190">
        <f t="shared" si="133"/>
        <v>47352</v>
      </c>
      <c r="W322" s="188">
        <v>75000</v>
      </c>
      <c r="X322" s="188">
        <v>43682</v>
      </c>
      <c r="Y322" s="188">
        <v>75000</v>
      </c>
      <c r="Z322" s="188">
        <f t="shared" si="127"/>
        <v>75000</v>
      </c>
      <c r="AA322" s="198">
        <v>59000</v>
      </c>
      <c r="AB322" s="198">
        <v>59000</v>
      </c>
      <c r="AC322" s="196"/>
      <c r="AD322" s="88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</row>
    <row r="323" spans="1:256" ht="30" customHeight="1" x14ac:dyDescent="0.25">
      <c r="A323" s="241">
        <v>817910.78</v>
      </c>
      <c r="B323" s="233" t="s">
        <v>715</v>
      </c>
      <c r="C323" s="202"/>
      <c r="D323" s="203"/>
      <c r="E323" s="202"/>
      <c r="F323" s="202"/>
      <c r="G323" s="189"/>
      <c r="H323" s="204"/>
      <c r="I323" s="189"/>
      <c r="J323" s="189"/>
      <c r="K323" s="189"/>
      <c r="L323" s="189"/>
      <c r="M323" s="189"/>
      <c r="N323" s="189"/>
      <c r="O323" s="188"/>
      <c r="P323" s="188"/>
      <c r="Q323" s="188"/>
      <c r="R323" s="188"/>
      <c r="S323" s="188"/>
      <c r="T323" s="188"/>
      <c r="U323" s="188"/>
      <c r="V323" s="190"/>
      <c r="W323" s="188"/>
      <c r="X323" s="188"/>
      <c r="Y323" s="188"/>
      <c r="Z323" s="188"/>
      <c r="AA323" s="205">
        <v>60000</v>
      </c>
      <c r="AB323" s="205">
        <v>60000</v>
      </c>
      <c r="AC323" s="196"/>
      <c r="AD323" s="88"/>
      <c r="AE323" s="5"/>
      <c r="AF323" s="5">
        <v>12</v>
      </c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</row>
    <row r="324" spans="1:256" ht="30" customHeight="1" x14ac:dyDescent="0.25">
      <c r="A324" s="228">
        <v>817999.82</v>
      </c>
      <c r="B324" s="233" t="s">
        <v>587</v>
      </c>
      <c r="C324" s="202"/>
      <c r="D324" s="203"/>
      <c r="E324" s="202"/>
      <c r="F324" s="202"/>
      <c r="G324" s="189"/>
      <c r="H324" s="204"/>
      <c r="I324" s="189"/>
      <c r="J324" s="189"/>
      <c r="K324" s="189"/>
      <c r="L324" s="189"/>
      <c r="M324" s="189"/>
      <c r="N324" s="189"/>
      <c r="O324" s="188"/>
      <c r="P324" s="188">
        <f t="shared" si="131"/>
        <v>0</v>
      </c>
      <c r="Q324" s="189">
        <v>300000</v>
      </c>
      <c r="R324" s="189">
        <v>303245</v>
      </c>
      <c r="S324" s="188">
        <v>400000</v>
      </c>
      <c r="T324" s="188">
        <v>400000</v>
      </c>
      <c r="U324" s="189">
        <v>505505</v>
      </c>
      <c r="V324" s="190">
        <f t="shared" si="133"/>
        <v>606606</v>
      </c>
      <c r="W324" s="188">
        <v>200000</v>
      </c>
      <c r="X324" s="188">
        <v>353041</v>
      </c>
      <c r="Y324" s="188">
        <v>423000</v>
      </c>
      <c r="Z324" s="188">
        <f t="shared" si="127"/>
        <v>423000</v>
      </c>
      <c r="AA324" s="198">
        <v>450000</v>
      </c>
      <c r="AB324" s="198">
        <v>200000</v>
      </c>
      <c r="AC324" s="196"/>
      <c r="AD324" s="88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</row>
    <row r="325" spans="1:256" ht="30" customHeight="1" x14ac:dyDescent="0.25">
      <c r="A325" s="228">
        <v>819000.75</v>
      </c>
      <c r="B325" s="233" t="s">
        <v>451</v>
      </c>
      <c r="C325" s="202"/>
      <c r="D325" s="203"/>
      <c r="E325" s="202"/>
      <c r="F325" s="202"/>
      <c r="G325" s="189">
        <v>150000</v>
      </c>
      <c r="H325" s="204"/>
      <c r="I325" s="189">
        <v>0</v>
      </c>
      <c r="J325" s="189"/>
      <c r="K325" s="189">
        <f>I325*4/3</f>
        <v>0</v>
      </c>
      <c r="L325" s="189">
        <v>452050</v>
      </c>
      <c r="M325" s="189">
        <f>L325/8*4</f>
        <v>226025</v>
      </c>
      <c r="N325" s="189">
        <v>600000</v>
      </c>
      <c r="O325" s="188">
        <v>732100</v>
      </c>
      <c r="P325" s="188">
        <f t="shared" si="131"/>
        <v>678075</v>
      </c>
      <c r="Q325" s="189">
        <f>850000-600000</f>
        <v>250000</v>
      </c>
      <c r="R325" s="189">
        <v>270000</v>
      </c>
      <c r="S325" s="188">
        <f t="shared" si="132"/>
        <v>540000</v>
      </c>
      <c r="T325" s="188">
        <v>540000</v>
      </c>
      <c r="U325" s="189">
        <v>270000</v>
      </c>
      <c r="V325" s="190">
        <f t="shared" si="133"/>
        <v>324000</v>
      </c>
      <c r="W325" s="188">
        <v>300000</v>
      </c>
      <c r="X325" s="188">
        <v>74791</v>
      </c>
      <c r="Y325" s="188">
        <v>75000</v>
      </c>
      <c r="Z325" s="188">
        <f t="shared" si="127"/>
        <v>75000</v>
      </c>
      <c r="AA325" s="198">
        <v>133000</v>
      </c>
      <c r="AB325" s="198"/>
      <c r="AC325" s="196"/>
      <c r="AD325" s="88" t="s">
        <v>699</v>
      </c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</row>
    <row r="326" spans="1:256" ht="30" customHeight="1" x14ac:dyDescent="0.25">
      <c r="A326" s="222"/>
      <c r="B326" s="275" t="s">
        <v>131</v>
      </c>
      <c r="C326" s="211">
        <f>SUM(C304:C322)</f>
        <v>4774000</v>
      </c>
      <c r="D326" s="211">
        <f>SUM(D304:D322)</f>
        <v>0</v>
      </c>
      <c r="E326" s="211">
        <f>SUM(E304:E322)</f>
        <v>5177142</v>
      </c>
      <c r="F326" s="211">
        <f>SUM(F304:F322)</f>
        <v>5197000</v>
      </c>
      <c r="G326" s="212">
        <f t="shared" ref="G326:AI326" si="134">SUM(G303:G325)</f>
        <v>5443691</v>
      </c>
      <c r="H326" s="212">
        <f t="shared" si="134"/>
        <v>3958088</v>
      </c>
      <c r="I326" s="212">
        <f t="shared" si="134"/>
        <v>3550634</v>
      </c>
      <c r="J326" s="213">
        <f t="shared" si="134"/>
        <v>0</v>
      </c>
      <c r="K326" s="213">
        <f t="shared" si="134"/>
        <v>4734178.6666666679</v>
      </c>
      <c r="L326" s="213">
        <f t="shared" si="134"/>
        <v>3542982</v>
      </c>
      <c r="M326" s="213">
        <f t="shared" si="134"/>
        <v>2080912.7857142857</v>
      </c>
      <c r="N326" s="212">
        <f t="shared" si="134"/>
        <v>5622952</v>
      </c>
      <c r="O326" s="212">
        <f t="shared" si="134"/>
        <v>5972600</v>
      </c>
      <c r="P326" s="212">
        <f t="shared" si="134"/>
        <v>5623894.7857142864</v>
      </c>
      <c r="Q326" s="212">
        <f t="shared" si="134"/>
        <v>6130266</v>
      </c>
      <c r="R326" s="212">
        <f t="shared" si="134"/>
        <v>4082680.2847999996</v>
      </c>
      <c r="S326" s="212">
        <f t="shared" si="134"/>
        <v>7958870.5695999991</v>
      </c>
      <c r="T326" s="212">
        <f t="shared" si="134"/>
        <v>7975722.5695999991</v>
      </c>
      <c r="U326" s="212">
        <f t="shared" si="134"/>
        <v>6304734</v>
      </c>
      <c r="V326" s="212">
        <f t="shared" si="134"/>
        <v>7565680.8000000007</v>
      </c>
      <c r="W326" s="212">
        <f t="shared" si="134"/>
        <v>8087373</v>
      </c>
      <c r="X326" s="212">
        <f t="shared" si="134"/>
        <v>6327139</v>
      </c>
      <c r="Y326" s="212">
        <f t="shared" si="134"/>
        <v>7924500</v>
      </c>
      <c r="Z326" s="212">
        <f t="shared" si="134"/>
        <v>7644700</v>
      </c>
      <c r="AA326" s="212">
        <f t="shared" si="134"/>
        <v>8124000</v>
      </c>
      <c r="AB326" s="212">
        <f t="shared" si="134"/>
        <v>8177000</v>
      </c>
      <c r="AC326" s="212">
        <f t="shared" si="134"/>
        <v>30.15</v>
      </c>
      <c r="AD326" s="47">
        <f t="shared" si="134"/>
        <v>0</v>
      </c>
      <c r="AE326" s="47">
        <f t="shared" si="134"/>
        <v>15</v>
      </c>
      <c r="AF326" s="47">
        <f t="shared" si="134"/>
        <v>12</v>
      </c>
      <c r="AG326" s="47">
        <f t="shared" si="134"/>
        <v>0</v>
      </c>
      <c r="AH326" s="47">
        <f t="shared" si="134"/>
        <v>0</v>
      </c>
      <c r="AI326" s="47">
        <f t="shared" si="134"/>
        <v>0</v>
      </c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</row>
    <row r="327" spans="1:256" ht="30" customHeight="1" x14ac:dyDescent="0.25">
      <c r="A327" s="222"/>
      <c r="B327" s="275" t="s">
        <v>6</v>
      </c>
      <c r="C327" s="211">
        <f t="shared" ref="C327:AC327" si="135">C326+C302+C299+C263+C243+C192+C153</f>
        <v>40281000</v>
      </c>
      <c r="D327" s="211">
        <f t="shared" si="135"/>
        <v>0</v>
      </c>
      <c r="E327" s="211">
        <f t="shared" si="135"/>
        <v>43021609</v>
      </c>
      <c r="F327" s="211">
        <f t="shared" si="135"/>
        <v>42444750</v>
      </c>
      <c r="G327" s="212">
        <f t="shared" si="135"/>
        <v>47579308</v>
      </c>
      <c r="H327" s="212">
        <f t="shared" si="135"/>
        <v>83687956</v>
      </c>
      <c r="I327" s="212">
        <f t="shared" si="135"/>
        <v>36961601</v>
      </c>
      <c r="J327" s="213">
        <f t="shared" si="135"/>
        <v>0</v>
      </c>
      <c r="K327" s="213">
        <f t="shared" si="135"/>
        <v>49282134.666666672</v>
      </c>
      <c r="L327" s="213">
        <f t="shared" si="135"/>
        <v>35183411</v>
      </c>
      <c r="M327" s="213">
        <f t="shared" si="135"/>
        <v>23689589.571428571</v>
      </c>
      <c r="N327" s="212">
        <f t="shared" si="135"/>
        <v>50090276</v>
      </c>
      <c r="O327" s="212">
        <f t="shared" si="135"/>
        <v>57173300</v>
      </c>
      <c r="P327" s="212">
        <f t="shared" si="135"/>
        <v>59253640.428571425</v>
      </c>
      <c r="Q327" s="212">
        <f t="shared" si="135"/>
        <v>64688801.233333334</v>
      </c>
      <c r="R327" s="212">
        <f t="shared" si="135"/>
        <v>34155156.785300002</v>
      </c>
      <c r="S327" s="212">
        <f t="shared" si="135"/>
        <v>68468186.203933343</v>
      </c>
      <c r="T327" s="212">
        <f t="shared" si="135"/>
        <v>69090250.803933337</v>
      </c>
      <c r="U327" s="212">
        <f t="shared" si="135"/>
        <v>56413267</v>
      </c>
      <c r="V327" s="212">
        <f t="shared" si="135"/>
        <v>67695920.400000006</v>
      </c>
      <c r="W327" s="212">
        <f t="shared" si="135"/>
        <v>70494676</v>
      </c>
      <c r="X327" s="212">
        <f t="shared" si="135"/>
        <v>62890885.333333336</v>
      </c>
      <c r="Y327" s="212">
        <f t="shared" si="135"/>
        <v>75686200</v>
      </c>
      <c r="Z327" s="212">
        <f t="shared" si="135"/>
        <v>76859000</v>
      </c>
      <c r="AA327" s="212">
        <f t="shared" si="135"/>
        <v>81350500</v>
      </c>
      <c r="AB327" s="212">
        <f t="shared" si="135"/>
        <v>87478000</v>
      </c>
      <c r="AC327" s="242">
        <f t="shared" si="135"/>
        <v>467.13</v>
      </c>
      <c r="AD327" s="88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</row>
    <row r="328" spans="1:256" ht="30" hidden="1" customHeight="1" x14ac:dyDescent="0.25">
      <c r="A328" s="222"/>
      <c r="B328" s="275"/>
      <c r="C328" s="211"/>
      <c r="D328" s="215"/>
      <c r="E328" s="211"/>
      <c r="F328" s="211"/>
      <c r="G328" s="216"/>
      <c r="H328" s="212"/>
      <c r="I328" s="216"/>
      <c r="J328" s="217"/>
      <c r="K328" s="217"/>
      <c r="L328" s="217"/>
      <c r="M328" s="217"/>
      <c r="N328" s="216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  <c r="Y328" s="216"/>
      <c r="Z328" s="216"/>
      <c r="AA328" s="218"/>
      <c r="AB328" s="218"/>
      <c r="AC328" s="212"/>
      <c r="AD328" s="88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</row>
    <row r="329" spans="1:256" ht="30" hidden="1" customHeight="1" x14ac:dyDescent="0.25">
      <c r="A329" s="243"/>
      <c r="B329" s="279"/>
      <c r="C329" s="223"/>
      <c r="D329" s="224"/>
      <c r="E329" s="223"/>
      <c r="F329" s="223"/>
      <c r="G329" s="217"/>
      <c r="H329" s="213"/>
      <c r="I329" s="217"/>
      <c r="J329" s="217"/>
      <c r="K329" s="217"/>
      <c r="L329" s="217"/>
      <c r="M329" s="217"/>
      <c r="N329" s="217"/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44"/>
      <c r="AB329" s="244"/>
      <c r="AC329" s="213"/>
      <c r="AD329" s="88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</row>
    <row r="330" spans="1:256" ht="30" customHeight="1" x14ac:dyDescent="0.25">
      <c r="A330" s="229"/>
      <c r="B330" s="232"/>
      <c r="C330" s="202"/>
      <c r="D330" s="187"/>
      <c r="E330" s="202"/>
      <c r="F330" s="202"/>
      <c r="G330" s="188"/>
      <c r="H330" s="204"/>
      <c r="I330" s="188"/>
      <c r="J330" s="189"/>
      <c r="K330" s="189"/>
      <c r="L330" s="189"/>
      <c r="M330" s="189"/>
      <c r="N330" s="188"/>
      <c r="O330" s="188"/>
      <c r="P330" s="188"/>
      <c r="Q330" s="188"/>
      <c r="R330" s="188"/>
      <c r="S330" s="188"/>
      <c r="T330" s="188"/>
      <c r="U330" s="188"/>
      <c r="V330" s="190"/>
      <c r="W330" s="188"/>
      <c r="X330" s="188"/>
      <c r="Y330" s="188"/>
      <c r="Z330" s="188"/>
      <c r="AA330" s="198"/>
      <c r="AB330" s="198"/>
      <c r="AC330" s="196"/>
      <c r="AD330" s="88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</row>
    <row r="331" spans="1:256" ht="30" customHeight="1" x14ac:dyDescent="0.25">
      <c r="A331" s="227">
        <v>823000.11</v>
      </c>
      <c r="B331" s="232" t="s">
        <v>133</v>
      </c>
      <c r="C331" s="202">
        <v>450000</v>
      </c>
      <c r="D331" s="187"/>
      <c r="E331" s="202">
        <v>470202</v>
      </c>
      <c r="F331" s="202">
        <v>474202</v>
      </c>
      <c r="G331" s="188">
        <v>524130</v>
      </c>
      <c r="H331" s="204">
        <f>379725+3786</f>
        <v>383511</v>
      </c>
      <c r="I331" s="188">
        <v>424110</v>
      </c>
      <c r="J331" s="189"/>
      <c r="K331" s="189">
        <f>I331*4/3</f>
        <v>565480</v>
      </c>
      <c r="L331" s="189">
        <v>325575</v>
      </c>
      <c r="M331" s="189">
        <f>L331/7*5</f>
        <v>232553.57142857142</v>
      </c>
      <c r="N331" s="190">
        <v>537558</v>
      </c>
      <c r="O331" s="190">
        <v>553100</v>
      </c>
      <c r="P331" s="190">
        <f>M331+L331</f>
        <v>558128.57142857136</v>
      </c>
      <c r="Q331" s="190">
        <f>O331*1.045</f>
        <v>577989.5</v>
      </c>
      <c r="R331" s="190">
        <f>290150.2*0.985</f>
        <v>285797.94699999999</v>
      </c>
      <c r="S331" s="190">
        <f>R331*2</f>
        <v>571595.89399999997</v>
      </c>
      <c r="T331" s="190">
        <f>S331</f>
        <v>571595.89399999997</v>
      </c>
      <c r="U331" s="190">
        <v>484855</v>
      </c>
      <c r="V331" s="190">
        <f t="shared" si="133"/>
        <v>581826</v>
      </c>
      <c r="W331" s="190">
        <v>595000</v>
      </c>
      <c r="X331" s="190">
        <v>488716</v>
      </c>
      <c r="Y331" s="190">
        <v>577000</v>
      </c>
      <c r="Z331" s="190">
        <v>580000</v>
      </c>
      <c r="AA331" s="191">
        <v>582000</v>
      </c>
      <c r="AB331" s="191">
        <v>675000</v>
      </c>
      <c r="AC331" s="239">
        <v>4.1399999999999997</v>
      </c>
      <c r="AD331" s="88" t="s">
        <v>699</v>
      </c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</row>
    <row r="332" spans="1:256" ht="30" customHeight="1" x14ac:dyDescent="0.25">
      <c r="A332" s="228">
        <v>823000.54</v>
      </c>
      <c r="B332" s="233" t="s">
        <v>134</v>
      </c>
      <c r="C332" s="202">
        <v>6000</v>
      </c>
      <c r="D332" s="203"/>
      <c r="E332" s="202">
        <v>4970</v>
      </c>
      <c r="F332" s="202">
        <v>6000</v>
      </c>
      <c r="G332" s="189">
        <v>7000</v>
      </c>
      <c r="H332" s="204">
        <v>5241</v>
      </c>
      <c r="I332" s="189">
        <v>6772</v>
      </c>
      <c r="J332" s="189"/>
      <c r="K332" s="189">
        <f>I332*4/3</f>
        <v>9029.3333333333339</v>
      </c>
      <c r="L332" s="189">
        <v>10660</v>
      </c>
      <c r="M332" s="189">
        <f t="shared" ref="M332:M378" si="136">L332/8*4</f>
        <v>5330</v>
      </c>
      <c r="N332" s="189">
        <v>9000</v>
      </c>
      <c r="O332" s="189">
        <v>13800</v>
      </c>
      <c r="P332" s="188">
        <f t="shared" ref="P332:P339" si="137">L332+M332</f>
        <v>15990</v>
      </c>
      <c r="Q332" s="188">
        <f>O332</f>
        <v>13800</v>
      </c>
      <c r="R332" s="188">
        <v>3342</v>
      </c>
      <c r="S332" s="188">
        <f t="shared" ref="S332:S339" si="138">R332*2</f>
        <v>6684</v>
      </c>
      <c r="T332" s="188">
        <v>8000</v>
      </c>
      <c r="U332" s="188">
        <v>6159</v>
      </c>
      <c r="V332" s="190">
        <f t="shared" si="133"/>
        <v>7390.8</v>
      </c>
      <c r="W332" s="188">
        <v>8000</v>
      </c>
      <c r="X332" s="188">
        <v>9018</v>
      </c>
      <c r="Y332" s="188">
        <v>10000</v>
      </c>
      <c r="Z332" s="188">
        <f t="shared" ref="Z332:Z356" si="139">Y332</f>
        <v>10000</v>
      </c>
      <c r="AA332" s="198">
        <v>10000</v>
      </c>
      <c r="AB332" s="198">
        <v>10000</v>
      </c>
      <c r="AC332" s="196"/>
      <c r="AD332" s="88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</row>
    <row r="333" spans="1:256" ht="30" customHeight="1" x14ac:dyDescent="0.25">
      <c r="A333" s="228">
        <v>824000.78</v>
      </c>
      <c r="B333" s="233" t="s">
        <v>135</v>
      </c>
      <c r="C333" s="202">
        <v>100000</v>
      </c>
      <c r="D333" s="203"/>
      <c r="E333" s="202">
        <v>225636</v>
      </c>
      <c r="F333" s="202">
        <v>100000</v>
      </c>
      <c r="G333" s="189">
        <f>350000+100000</f>
        <v>450000</v>
      </c>
      <c r="H333" s="204">
        <f>318798-85000</f>
        <v>233798</v>
      </c>
      <c r="I333" s="189">
        <v>338487</v>
      </c>
      <c r="J333" s="189"/>
      <c r="K333" s="189">
        <f>I333*4/3</f>
        <v>451316</v>
      </c>
      <c r="L333" s="189">
        <v>216642</v>
      </c>
      <c r="M333" s="189">
        <f t="shared" si="136"/>
        <v>108321</v>
      </c>
      <c r="N333" s="189">
        <v>450000</v>
      </c>
      <c r="O333" s="189">
        <v>450000</v>
      </c>
      <c r="P333" s="188">
        <f t="shared" si="137"/>
        <v>324963</v>
      </c>
      <c r="Q333" s="188">
        <v>500000</v>
      </c>
      <c r="R333" s="200">
        <v>203041</v>
      </c>
      <c r="S333" s="188">
        <f t="shared" si="138"/>
        <v>406082</v>
      </c>
      <c r="T333" s="188">
        <v>600000</v>
      </c>
      <c r="U333" s="200">
        <v>402131</v>
      </c>
      <c r="V333" s="190">
        <f t="shared" si="133"/>
        <v>482557.2</v>
      </c>
      <c r="W333" s="188">
        <v>600000</v>
      </c>
      <c r="X333" s="188">
        <v>11800</v>
      </c>
      <c r="Y333" s="188">
        <v>600000</v>
      </c>
      <c r="Z333" s="188">
        <f t="shared" si="139"/>
        <v>600000</v>
      </c>
      <c r="AA333" s="198">
        <v>600000</v>
      </c>
      <c r="AB333" s="198">
        <v>600000</v>
      </c>
      <c r="AC333" s="196"/>
      <c r="AD333" s="88" t="s">
        <v>699</v>
      </c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</row>
    <row r="334" spans="1:256" ht="30" customHeight="1" x14ac:dyDescent="0.25">
      <c r="A334" s="228">
        <v>824000.81</v>
      </c>
      <c r="B334" s="233" t="s">
        <v>136</v>
      </c>
      <c r="C334" s="202">
        <v>500000</v>
      </c>
      <c r="D334" s="203"/>
      <c r="E334" s="202">
        <v>1000000</v>
      </c>
      <c r="F334" s="202">
        <v>1000000</v>
      </c>
      <c r="G334" s="189">
        <f>1000000+300000</f>
        <v>1300000</v>
      </c>
      <c r="H334" s="204">
        <v>750000</v>
      </c>
      <c r="I334" s="189">
        <v>1050000</v>
      </c>
      <c r="J334" s="189"/>
      <c r="K334" s="189">
        <v>1300000</v>
      </c>
      <c r="L334" s="189">
        <v>650000</v>
      </c>
      <c r="M334" s="189">
        <v>650000</v>
      </c>
      <c r="N334" s="189">
        <v>1300000</v>
      </c>
      <c r="O334" s="189">
        <f>M334+L334</f>
        <v>1300000</v>
      </c>
      <c r="P334" s="188">
        <f t="shared" si="137"/>
        <v>1300000</v>
      </c>
      <c r="Q334" s="188">
        <v>1250000</v>
      </c>
      <c r="R334" s="188">
        <v>500000</v>
      </c>
      <c r="S334" s="188">
        <f t="shared" si="138"/>
        <v>1000000</v>
      </c>
      <c r="T334" s="188">
        <v>1300000</v>
      </c>
      <c r="U334" s="188">
        <v>975000</v>
      </c>
      <c r="V334" s="190">
        <v>1300000</v>
      </c>
      <c r="W334" s="188">
        <v>1000000</v>
      </c>
      <c r="X334" s="188">
        <v>750000</v>
      </c>
      <c r="Y334" s="188">
        <v>1000000</v>
      </c>
      <c r="Z334" s="188">
        <f t="shared" si="139"/>
        <v>1000000</v>
      </c>
      <c r="AA334" s="198">
        <v>1000000</v>
      </c>
      <c r="AB334" s="198">
        <v>1000000</v>
      </c>
      <c r="AC334" s="196"/>
      <c r="AD334" s="88" t="s">
        <v>699</v>
      </c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</row>
    <row r="335" spans="1:256" ht="30" customHeight="1" x14ac:dyDescent="0.25">
      <c r="A335" s="228">
        <v>824100.81</v>
      </c>
      <c r="B335" s="233" t="s">
        <v>708</v>
      </c>
      <c r="C335" s="202"/>
      <c r="D335" s="203"/>
      <c r="E335" s="202"/>
      <c r="F335" s="202"/>
      <c r="G335" s="189"/>
      <c r="H335" s="204"/>
      <c r="I335" s="189"/>
      <c r="J335" s="189"/>
      <c r="K335" s="189"/>
      <c r="L335" s="189">
        <v>278</v>
      </c>
      <c r="M335" s="189">
        <f t="shared" si="136"/>
        <v>139</v>
      </c>
      <c r="N335" s="189"/>
      <c r="O335" s="189">
        <v>1000</v>
      </c>
      <c r="P335" s="188">
        <f t="shared" si="137"/>
        <v>417</v>
      </c>
      <c r="Q335" s="188">
        <f>O335</f>
        <v>1000</v>
      </c>
      <c r="R335" s="188">
        <v>0</v>
      </c>
      <c r="S335" s="188">
        <f t="shared" si="138"/>
        <v>0</v>
      </c>
      <c r="T335" s="188">
        <f>Q335</f>
        <v>1000</v>
      </c>
      <c r="U335" s="188"/>
      <c r="V335" s="190">
        <f t="shared" si="133"/>
        <v>0</v>
      </c>
      <c r="W335" s="188"/>
      <c r="X335" s="188"/>
      <c r="Y335" s="188"/>
      <c r="Z335" s="188"/>
      <c r="AA335" s="198">
        <v>150000</v>
      </c>
      <c r="AB335" s="198">
        <v>1230000</v>
      </c>
      <c r="AC335" s="196"/>
      <c r="AD335" s="88"/>
      <c r="AE335" s="5"/>
      <c r="AF335" s="5">
        <v>1</v>
      </c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</row>
    <row r="336" spans="1:256" ht="30" customHeight="1" x14ac:dyDescent="0.25">
      <c r="A336" s="228">
        <v>824200.81</v>
      </c>
      <c r="B336" s="233" t="s">
        <v>716</v>
      </c>
      <c r="C336" s="202"/>
      <c r="D336" s="203"/>
      <c r="E336" s="202"/>
      <c r="F336" s="202"/>
      <c r="G336" s="189"/>
      <c r="H336" s="204"/>
      <c r="I336" s="189"/>
      <c r="J336" s="189"/>
      <c r="K336" s="189"/>
      <c r="L336" s="189"/>
      <c r="M336" s="189"/>
      <c r="N336" s="189"/>
      <c r="O336" s="189"/>
      <c r="P336" s="188"/>
      <c r="Q336" s="188"/>
      <c r="R336" s="188"/>
      <c r="S336" s="188"/>
      <c r="T336" s="188"/>
      <c r="U336" s="188"/>
      <c r="V336" s="190"/>
      <c r="W336" s="188"/>
      <c r="X336" s="188"/>
      <c r="Y336" s="188"/>
      <c r="Z336" s="188"/>
      <c r="AA336" s="198"/>
      <c r="AB336" s="198">
        <v>350000</v>
      </c>
      <c r="AC336" s="196"/>
      <c r="AD336" s="88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</row>
    <row r="337" spans="1:256" ht="30" customHeight="1" x14ac:dyDescent="0.25">
      <c r="A337" s="228">
        <v>824300.81</v>
      </c>
      <c r="B337" s="233" t="s">
        <v>717</v>
      </c>
      <c r="C337" s="202"/>
      <c r="D337" s="203"/>
      <c r="E337" s="202"/>
      <c r="F337" s="202"/>
      <c r="G337" s="189"/>
      <c r="H337" s="204"/>
      <c r="I337" s="189"/>
      <c r="J337" s="189"/>
      <c r="K337" s="189"/>
      <c r="L337" s="189"/>
      <c r="M337" s="189"/>
      <c r="N337" s="189"/>
      <c r="O337" s="189"/>
      <c r="P337" s="188"/>
      <c r="Q337" s="188"/>
      <c r="R337" s="188"/>
      <c r="S337" s="188"/>
      <c r="T337" s="188"/>
      <c r="U337" s="188"/>
      <c r="V337" s="190"/>
      <c r="W337" s="188"/>
      <c r="X337" s="188"/>
      <c r="Y337" s="188"/>
      <c r="Z337" s="188"/>
      <c r="AA337" s="198"/>
      <c r="AB337" s="198">
        <v>100000</v>
      </c>
      <c r="AC337" s="196"/>
      <c r="AD337" s="88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</row>
    <row r="338" spans="1:256" ht="30" customHeight="1" x14ac:dyDescent="0.25">
      <c r="A338" s="228">
        <v>826400.78</v>
      </c>
      <c r="B338" s="233" t="s">
        <v>441</v>
      </c>
      <c r="C338" s="202">
        <v>50000</v>
      </c>
      <c r="D338" s="203"/>
      <c r="E338" s="202">
        <v>131170</v>
      </c>
      <c r="F338" s="202">
        <v>150000</v>
      </c>
      <c r="G338" s="189">
        <v>200000</v>
      </c>
      <c r="H338" s="204">
        <v>80512</v>
      </c>
      <c r="I338" s="189">
        <v>78164</v>
      </c>
      <c r="J338" s="189"/>
      <c r="K338" s="189">
        <f>I338*4/3</f>
        <v>104218.66666666667</v>
      </c>
      <c r="L338" s="189">
        <v>45311</v>
      </c>
      <c r="M338" s="189">
        <f t="shared" si="136"/>
        <v>22655.5</v>
      </c>
      <c r="N338" s="189">
        <v>104000</v>
      </c>
      <c r="O338" s="189">
        <v>100000</v>
      </c>
      <c r="P338" s="188">
        <f t="shared" si="137"/>
        <v>67966.5</v>
      </c>
      <c r="Q338" s="188">
        <f>120000+14800</f>
        <v>134800</v>
      </c>
      <c r="R338" s="188">
        <v>26238</v>
      </c>
      <c r="S338" s="188">
        <f t="shared" si="138"/>
        <v>52476</v>
      </c>
      <c r="T338" s="188">
        <v>100000</v>
      </c>
      <c r="U338" s="188">
        <v>74692</v>
      </c>
      <c r="V338" s="190">
        <f t="shared" si="133"/>
        <v>89630.399999999994</v>
      </c>
      <c r="W338" s="188">
        <v>75000</v>
      </c>
      <c r="X338" s="188">
        <v>80294</v>
      </c>
      <c r="Y338" s="188">
        <v>96000</v>
      </c>
      <c r="Z338" s="188">
        <f t="shared" si="139"/>
        <v>96000</v>
      </c>
      <c r="AA338" s="198">
        <v>73000</v>
      </c>
      <c r="AB338" s="198">
        <v>73000</v>
      </c>
      <c r="AC338" s="196"/>
      <c r="AD338" s="88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</row>
    <row r="339" spans="1:256" ht="30" customHeight="1" x14ac:dyDescent="0.25">
      <c r="A339" s="228">
        <v>828100.78</v>
      </c>
      <c r="B339" s="233" t="s">
        <v>220</v>
      </c>
      <c r="C339" s="202">
        <v>300000</v>
      </c>
      <c r="D339" s="203"/>
      <c r="E339" s="202">
        <v>216122</v>
      </c>
      <c r="F339" s="202">
        <v>280000</v>
      </c>
      <c r="G339" s="189">
        <v>300000</v>
      </c>
      <c r="H339" s="204">
        <v>234821</v>
      </c>
      <c r="I339" s="189">
        <v>194098</v>
      </c>
      <c r="J339" s="189"/>
      <c r="K339" s="189">
        <f>I339*4/3</f>
        <v>258797.33333333334</v>
      </c>
      <c r="L339" s="189">
        <v>59360</v>
      </c>
      <c r="M339" s="189">
        <f t="shared" si="136"/>
        <v>29680</v>
      </c>
      <c r="N339" s="189">
        <f>150000-10000-10000</f>
        <v>130000</v>
      </c>
      <c r="O339" s="189">
        <v>130000</v>
      </c>
      <c r="P339" s="188">
        <f t="shared" si="137"/>
        <v>89040</v>
      </c>
      <c r="Q339" s="188">
        <v>150000</v>
      </c>
      <c r="R339" s="188">
        <v>50000</v>
      </c>
      <c r="S339" s="188">
        <f t="shared" si="138"/>
        <v>100000</v>
      </c>
      <c r="T339" s="188">
        <v>250000</v>
      </c>
      <c r="U339" s="188">
        <v>186750</v>
      </c>
      <c r="V339" s="190">
        <f t="shared" si="133"/>
        <v>224100</v>
      </c>
      <c r="W339" s="188">
        <v>250000</v>
      </c>
      <c r="X339" s="188">
        <v>137742</v>
      </c>
      <c r="Y339" s="188">
        <v>250000</v>
      </c>
      <c r="Z339" s="188">
        <f t="shared" si="139"/>
        <v>250000</v>
      </c>
      <c r="AA339" s="198">
        <v>250000</v>
      </c>
      <c r="AB339" s="198">
        <v>250000</v>
      </c>
      <c r="AC339" s="196"/>
      <c r="AD339" s="88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</row>
    <row r="340" spans="1:256" ht="30" customHeight="1" x14ac:dyDescent="0.25">
      <c r="A340" s="227">
        <v>828200.11</v>
      </c>
      <c r="B340" s="233" t="s">
        <v>374</v>
      </c>
      <c r="C340" s="202">
        <v>440000</v>
      </c>
      <c r="D340" s="203"/>
      <c r="E340" s="202">
        <v>503551</v>
      </c>
      <c r="F340" s="202">
        <v>508551</v>
      </c>
      <c r="G340" s="189">
        <v>651650</v>
      </c>
      <c r="H340" s="204">
        <v>476817</v>
      </c>
      <c r="I340" s="189">
        <v>520809</v>
      </c>
      <c r="J340" s="189"/>
      <c r="K340" s="189">
        <f>I340*4/3</f>
        <v>694412</v>
      </c>
      <c r="L340" s="189">
        <v>413563</v>
      </c>
      <c r="M340" s="189">
        <f>L340/7*5</f>
        <v>295402.14285714284</v>
      </c>
      <c r="N340" s="190">
        <v>669735</v>
      </c>
      <c r="O340" s="190">
        <v>680300</v>
      </c>
      <c r="P340" s="190">
        <f>M340+L340</f>
        <v>708965.14285714284</v>
      </c>
      <c r="Q340" s="190">
        <f>O340*1.045</f>
        <v>710913.5</v>
      </c>
      <c r="R340" s="190">
        <f>386079.04*0.985</f>
        <v>380287.85439999995</v>
      </c>
      <c r="S340" s="190">
        <f>R340*2</f>
        <v>760575.70879999991</v>
      </c>
      <c r="T340" s="190">
        <f>S340</f>
        <v>760575.70879999991</v>
      </c>
      <c r="U340" s="190">
        <v>632712</v>
      </c>
      <c r="V340" s="190">
        <f t="shared" si="133"/>
        <v>759254.4</v>
      </c>
      <c r="W340" s="190">
        <v>810000</v>
      </c>
      <c r="X340" s="190">
        <v>634854</v>
      </c>
      <c r="Y340" s="190">
        <v>752000</v>
      </c>
      <c r="Z340" s="190">
        <f>765000-207200</f>
        <v>557800</v>
      </c>
      <c r="AA340" s="191">
        <v>771000</v>
      </c>
      <c r="AB340" s="191">
        <v>552000</v>
      </c>
      <c r="AC340" s="196">
        <f>6.2-1</f>
        <v>5.2</v>
      </c>
      <c r="AD340" s="88" t="s">
        <v>699</v>
      </c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</row>
    <row r="341" spans="1:256" ht="30" customHeight="1" x14ac:dyDescent="0.25">
      <c r="A341" s="229">
        <v>828200.41</v>
      </c>
      <c r="B341" s="232" t="s">
        <v>137</v>
      </c>
      <c r="C341" s="194">
        <v>20000</v>
      </c>
      <c r="D341" s="187"/>
      <c r="E341" s="202">
        <v>45960</v>
      </c>
      <c r="F341" s="194">
        <v>30000</v>
      </c>
      <c r="G341" s="188">
        <v>56000</v>
      </c>
      <c r="H341" s="195">
        <v>42077</v>
      </c>
      <c r="I341" s="188">
        <v>49518</v>
      </c>
      <c r="J341" s="189"/>
      <c r="K341" s="189">
        <f>I341*4/3</f>
        <v>66024</v>
      </c>
      <c r="L341" s="189">
        <v>58342</v>
      </c>
      <c r="M341" s="189">
        <f t="shared" si="136"/>
        <v>29171</v>
      </c>
      <c r="N341" s="188">
        <v>58000</v>
      </c>
      <c r="O341" s="188">
        <v>90600</v>
      </c>
      <c r="P341" s="188">
        <f t="shared" ref="P341:P346" si="140">L341+M341</f>
        <v>87513</v>
      </c>
      <c r="Q341" s="188">
        <f t="shared" ref="Q341:Q346" si="141">O341</f>
        <v>90600</v>
      </c>
      <c r="R341" s="188">
        <v>51650</v>
      </c>
      <c r="S341" s="188">
        <f t="shared" ref="S341:S346" si="142">R341*2</f>
        <v>103300</v>
      </c>
      <c r="T341" s="188">
        <v>103300</v>
      </c>
      <c r="U341" s="188">
        <v>85790</v>
      </c>
      <c r="V341" s="190">
        <f t="shared" si="133"/>
        <v>102948</v>
      </c>
      <c r="W341" s="188">
        <v>104000</v>
      </c>
      <c r="X341" s="188">
        <v>69775</v>
      </c>
      <c r="Y341" s="188">
        <v>104000</v>
      </c>
      <c r="Z341" s="188">
        <f t="shared" si="139"/>
        <v>104000</v>
      </c>
      <c r="AA341" s="198">
        <v>109000</v>
      </c>
      <c r="AB341" s="198">
        <v>109000</v>
      </c>
      <c r="AC341" s="196"/>
      <c r="AD341" s="88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</row>
    <row r="342" spans="1:256" ht="30" customHeight="1" x14ac:dyDescent="0.25">
      <c r="A342" s="229">
        <v>828200.43099999998</v>
      </c>
      <c r="B342" s="232" t="s">
        <v>138</v>
      </c>
      <c r="C342" s="194">
        <v>11000</v>
      </c>
      <c r="D342" s="187"/>
      <c r="E342" s="202">
        <v>29191</v>
      </c>
      <c r="F342" s="194">
        <v>17000</v>
      </c>
      <c r="G342" s="188">
        <v>30000</v>
      </c>
      <c r="H342" s="195">
        <v>28627</v>
      </c>
      <c r="I342" s="188">
        <v>26058</v>
      </c>
      <c r="J342" s="189"/>
      <c r="K342" s="189">
        <f>I342*4/3</f>
        <v>34744</v>
      </c>
      <c r="L342" s="189">
        <v>34402</v>
      </c>
      <c r="M342" s="189">
        <f t="shared" si="136"/>
        <v>17201</v>
      </c>
      <c r="N342" s="188">
        <v>35000</v>
      </c>
      <c r="O342" s="188">
        <v>65100</v>
      </c>
      <c r="P342" s="188">
        <f t="shared" si="140"/>
        <v>51603</v>
      </c>
      <c r="Q342" s="188">
        <f t="shared" si="141"/>
        <v>65100</v>
      </c>
      <c r="R342" s="188">
        <v>34031</v>
      </c>
      <c r="S342" s="188">
        <f t="shared" si="142"/>
        <v>68062</v>
      </c>
      <c r="T342" s="188">
        <v>68062</v>
      </c>
      <c r="U342" s="188">
        <v>55038</v>
      </c>
      <c r="V342" s="190">
        <f t="shared" si="133"/>
        <v>66045.600000000006</v>
      </c>
      <c r="W342" s="188">
        <v>70000</v>
      </c>
      <c r="X342" s="188">
        <v>16666</v>
      </c>
      <c r="Y342" s="188">
        <v>20000</v>
      </c>
      <c r="Z342" s="188">
        <f t="shared" si="139"/>
        <v>20000</v>
      </c>
      <c r="AA342" s="198">
        <v>24000</v>
      </c>
      <c r="AB342" s="198">
        <v>24000</v>
      </c>
      <c r="AC342" s="196"/>
      <c r="AD342" s="88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</row>
    <row r="343" spans="1:256" ht="30" customHeight="1" x14ac:dyDescent="0.25">
      <c r="A343" s="229">
        <v>828200.43200000003</v>
      </c>
      <c r="B343" s="232" t="s">
        <v>380</v>
      </c>
      <c r="C343" s="194">
        <v>7000</v>
      </c>
      <c r="D343" s="187"/>
      <c r="E343" s="202">
        <v>6596</v>
      </c>
      <c r="F343" s="194">
        <v>9000</v>
      </c>
      <c r="G343" s="188">
        <v>10000</v>
      </c>
      <c r="H343" s="195">
        <v>960</v>
      </c>
      <c r="I343" s="188">
        <v>0</v>
      </c>
      <c r="J343" s="189"/>
      <c r="K343" s="189">
        <f t="shared" ref="K343:K403" si="143">I343*4/3</f>
        <v>0</v>
      </c>
      <c r="L343" s="189">
        <v>326</v>
      </c>
      <c r="M343" s="189">
        <f t="shared" si="136"/>
        <v>163</v>
      </c>
      <c r="N343" s="188">
        <v>10000</v>
      </c>
      <c r="O343" s="188">
        <v>10000</v>
      </c>
      <c r="P343" s="188">
        <f t="shared" si="140"/>
        <v>489</v>
      </c>
      <c r="Q343" s="188">
        <f t="shared" si="141"/>
        <v>10000</v>
      </c>
      <c r="R343" s="188">
        <v>16040</v>
      </c>
      <c r="S343" s="188">
        <f t="shared" si="142"/>
        <v>32080</v>
      </c>
      <c r="T343" s="188">
        <v>32080</v>
      </c>
      <c r="U343" s="188">
        <v>17491</v>
      </c>
      <c r="V343" s="190">
        <f t="shared" si="133"/>
        <v>20989.200000000001</v>
      </c>
      <c r="W343" s="188">
        <v>20000</v>
      </c>
      <c r="X343" s="188">
        <v>3764</v>
      </c>
      <c r="Y343" s="188">
        <v>5000</v>
      </c>
      <c r="Z343" s="188">
        <f t="shared" si="139"/>
        <v>5000</v>
      </c>
      <c r="AA343" s="198">
        <v>12000</v>
      </c>
      <c r="AB343" s="198">
        <v>12000</v>
      </c>
      <c r="AC343" s="196"/>
      <c r="AD343" s="88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</row>
    <row r="344" spans="1:256" ht="30" customHeight="1" x14ac:dyDescent="0.25">
      <c r="A344" s="229">
        <v>828200.54</v>
      </c>
      <c r="B344" s="232" t="s">
        <v>139</v>
      </c>
      <c r="C344" s="194">
        <v>1000</v>
      </c>
      <c r="D344" s="187"/>
      <c r="E344" s="202">
        <v>4234</v>
      </c>
      <c r="F344" s="194">
        <v>4000</v>
      </c>
      <c r="G344" s="188">
        <v>6000</v>
      </c>
      <c r="H344" s="195">
        <v>4146</v>
      </c>
      <c r="I344" s="188">
        <v>5268</v>
      </c>
      <c r="J344" s="189"/>
      <c r="K344" s="189">
        <f t="shared" si="143"/>
        <v>7024</v>
      </c>
      <c r="L344" s="189">
        <v>3224</v>
      </c>
      <c r="M344" s="189">
        <f t="shared" si="136"/>
        <v>1612</v>
      </c>
      <c r="N344" s="188">
        <v>7000</v>
      </c>
      <c r="O344" s="188">
        <v>6200</v>
      </c>
      <c r="P344" s="188">
        <f t="shared" si="140"/>
        <v>4836</v>
      </c>
      <c r="Q344" s="188">
        <f t="shared" si="141"/>
        <v>6200</v>
      </c>
      <c r="R344" s="188">
        <v>2189</v>
      </c>
      <c r="S344" s="188">
        <f t="shared" si="142"/>
        <v>4378</v>
      </c>
      <c r="T344" s="188">
        <f>Q344</f>
        <v>6200</v>
      </c>
      <c r="U344" s="188">
        <v>3645</v>
      </c>
      <c r="V344" s="190">
        <f t="shared" si="133"/>
        <v>4374</v>
      </c>
      <c r="W344" s="188">
        <v>4500</v>
      </c>
      <c r="X344" s="188">
        <v>8529</v>
      </c>
      <c r="Y344" s="188">
        <v>10000</v>
      </c>
      <c r="Z344" s="188">
        <f t="shared" si="139"/>
        <v>10000</v>
      </c>
      <c r="AA344" s="198">
        <v>10000</v>
      </c>
      <c r="AB344" s="198">
        <v>10000</v>
      </c>
      <c r="AC344" s="196"/>
      <c r="AD344" s="88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</row>
    <row r="345" spans="1:256" ht="30" customHeight="1" x14ac:dyDescent="0.25">
      <c r="A345" s="229">
        <v>828200.72</v>
      </c>
      <c r="B345" s="232" t="s">
        <v>140</v>
      </c>
      <c r="C345" s="194">
        <v>40000</v>
      </c>
      <c r="D345" s="187"/>
      <c r="E345" s="202">
        <v>41054</v>
      </c>
      <c r="F345" s="194">
        <v>40000</v>
      </c>
      <c r="G345" s="188">
        <v>45000</v>
      </c>
      <c r="H345" s="195">
        <v>32074</v>
      </c>
      <c r="I345" s="188">
        <v>31942</v>
      </c>
      <c r="J345" s="189"/>
      <c r="K345" s="189">
        <f t="shared" si="143"/>
        <v>42589.333333333336</v>
      </c>
      <c r="L345" s="189">
        <v>30018</v>
      </c>
      <c r="M345" s="189">
        <f t="shared" si="136"/>
        <v>15009</v>
      </c>
      <c r="N345" s="188">
        <v>42000</v>
      </c>
      <c r="O345" s="188">
        <v>42000</v>
      </c>
      <c r="P345" s="188">
        <f t="shared" si="140"/>
        <v>45027</v>
      </c>
      <c r="Q345" s="188">
        <f t="shared" si="141"/>
        <v>42000</v>
      </c>
      <c r="R345" s="188">
        <v>14547</v>
      </c>
      <c r="S345" s="188">
        <f t="shared" si="142"/>
        <v>29094</v>
      </c>
      <c r="T345" s="188">
        <v>25000</v>
      </c>
      <c r="U345" s="188">
        <v>22330</v>
      </c>
      <c r="V345" s="190">
        <f t="shared" si="133"/>
        <v>26796</v>
      </c>
      <c r="W345" s="188">
        <v>30000</v>
      </c>
      <c r="X345" s="188">
        <v>21732</v>
      </c>
      <c r="Y345" s="188">
        <v>26000</v>
      </c>
      <c r="Z345" s="188">
        <f t="shared" si="139"/>
        <v>26000</v>
      </c>
      <c r="AA345" s="198">
        <v>32000</v>
      </c>
      <c r="AB345" s="198">
        <v>32000</v>
      </c>
      <c r="AC345" s="196"/>
      <c r="AD345" s="88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</row>
    <row r="346" spans="1:256" ht="30" customHeight="1" x14ac:dyDescent="0.25">
      <c r="A346" s="229">
        <v>828200.78</v>
      </c>
      <c r="B346" s="232" t="s">
        <v>141</v>
      </c>
      <c r="C346" s="194">
        <v>18000</v>
      </c>
      <c r="D346" s="187"/>
      <c r="E346" s="202">
        <v>41587</v>
      </c>
      <c r="F346" s="194">
        <v>42000</v>
      </c>
      <c r="G346" s="188">
        <v>35000</v>
      </c>
      <c r="H346" s="195">
        <v>26074</v>
      </c>
      <c r="I346" s="188">
        <v>24626</v>
      </c>
      <c r="J346" s="189"/>
      <c r="K346" s="189">
        <f t="shared" si="143"/>
        <v>32834.666666666664</v>
      </c>
      <c r="L346" s="189">
        <v>17476</v>
      </c>
      <c r="M346" s="189">
        <f t="shared" si="136"/>
        <v>8738</v>
      </c>
      <c r="N346" s="188">
        <v>35000</v>
      </c>
      <c r="O346" s="188">
        <v>35000</v>
      </c>
      <c r="P346" s="188">
        <f t="shared" si="140"/>
        <v>26214</v>
      </c>
      <c r="Q346" s="188">
        <f t="shared" si="141"/>
        <v>35000</v>
      </c>
      <c r="R346" s="188">
        <v>12321</v>
      </c>
      <c r="S346" s="188">
        <f t="shared" si="142"/>
        <v>24642</v>
      </c>
      <c r="T346" s="188">
        <v>25000</v>
      </c>
      <c r="U346" s="188">
        <v>25165</v>
      </c>
      <c r="V346" s="190">
        <f t="shared" si="133"/>
        <v>30198</v>
      </c>
      <c r="W346" s="188">
        <v>30000</v>
      </c>
      <c r="X346" s="188">
        <v>10000</v>
      </c>
      <c r="Y346" s="188">
        <f>X346*12/10</f>
        <v>12000</v>
      </c>
      <c r="Z346" s="188">
        <f t="shared" si="139"/>
        <v>12000</v>
      </c>
      <c r="AA346" s="198">
        <v>12000</v>
      </c>
      <c r="AB346" s="198">
        <v>12000</v>
      </c>
      <c r="AC346" s="196"/>
      <c r="AD346" s="88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</row>
    <row r="347" spans="1:256" ht="30" customHeight="1" x14ac:dyDescent="0.25">
      <c r="A347" s="227">
        <v>829100.11</v>
      </c>
      <c r="B347" s="232" t="s">
        <v>142</v>
      </c>
      <c r="C347" s="194">
        <v>135000</v>
      </c>
      <c r="D347" s="187"/>
      <c r="E347" s="202">
        <v>130567</v>
      </c>
      <c r="F347" s="194">
        <v>133000</v>
      </c>
      <c r="G347" s="188">
        <v>145525</v>
      </c>
      <c r="H347" s="195">
        <v>106476</v>
      </c>
      <c r="I347" s="188">
        <v>114103</v>
      </c>
      <c r="J347" s="189"/>
      <c r="K347" s="189">
        <f t="shared" si="143"/>
        <v>152137.33333333334</v>
      </c>
      <c r="L347" s="189">
        <v>92473</v>
      </c>
      <c r="M347" s="189">
        <f>L347/7*5</f>
        <v>66052.142857142855</v>
      </c>
      <c r="N347" s="190">
        <v>147671</v>
      </c>
      <c r="O347" s="190">
        <v>150800</v>
      </c>
      <c r="P347" s="190">
        <f>M347+L347</f>
        <v>158525.14285714284</v>
      </c>
      <c r="Q347" s="190">
        <f>O347*1.045</f>
        <v>157586</v>
      </c>
      <c r="R347" s="190">
        <f>80483.76*0.985</f>
        <v>79276.503599999996</v>
      </c>
      <c r="S347" s="190">
        <f>R347*2</f>
        <v>158553.00719999999</v>
      </c>
      <c r="T347" s="190">
        <f>S347</f>
        <v>158553.00719999999</v>
      </c>
      <c r="U347" s="190">
        <v>131892</v>
      </c>
      <c r="V347" s="190">
        <f t="shared" si="133"/>
        <v>158270.39999999999</v>
      </c>
      <c r="W347" s="190">
        <v>160000</v>
      </c>
      <c r="X347" s="190">
        <v>131553</v>
      </c>
      <c r="Y347" s="190">
        <v>157000</v>
      </c>
      <c r="Z347" s="190">
        <v>160000</v>
      </c>
      <c r="AA347" s="191">
        <v>164000</v>
      </c>
      <c r="AB347" s="191">
        <v>172000</v>
      </c>
      <c r="AC347" s="196">
        <v>1</v>
      </c>
      <c r="AD347" s="88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</row>
    <row r="348" spans="1:256" ht="30" customHeight="1" x14ac:dyDescent="0.25">
      <c r="A348" s="228">
        <v>829100.52099999995</v>
      </c>
      <c r="B348" s="232" t="s">
        <v>221</v>
      </c>
      <c r="C348" s="194">
        <v>1000</v>
      </c>
      <c r="D348" s="187"/>
      <c r="E348" s="202">
        <v>420</v>
      </c>
      <c r="F348" s="194">
        <v>1000</v>
      </c>
      <c r="G348" s="188">
        <v>2000</v>
      </c>
      <c r="H348" s="195">
        <v>1070</v>
      </c>
      <c r="I348" s="188">
        <v>3740</v>
      </c>
      <c r="J348" s="189"/>
      <c r="K348" s="189">
        <f t="shared" si="143"/>
        <v>4986.666666666667</v>
      </c>
      <c r="L348" s="189">
        <v>6250</v>
      </c>
      <c r="M348" s="189">
        <f t="shared" si="136"/>
        <v>3125</v>
      </c>
      <c r="N348" s="188">
        <v>5000</v>
      </c>
      <c r="O348" s="188">
        <v>6300</v>
      </c>
      <c r="P348" s="188">
        <f>L348+M348</f>
        <v>9375</v>
      </c>
      <c r="Q348" s="188">
        <f>O348</f>
        <v>6300</v>
      </c>
      <c r="R348" s="188">
        <v>1950</v>
      </c>
      <c r="S348" s="188">
        <f>R348*2</f>
        <v>3900</v>
      </c>
      <c r="T348" s="188">
        <v>5000</v>
      </c>
      <c r="U348" s="188">
        <v>1950</v>
      </c>
      <c r="V348" s="190">
        <f t="shared" si="133"/>
        <v>2340</v>
      </c>
      <c r="W348" s="188">
        <v>3000</v>
      </c>
      <c r="X348" s="188">
        <v>1690</v>
      </c>
      <c r="Y348" s="188">
        <v>2000</v>
      </c>
      <c r="Z348" s="188">
        <f t="shared" si="139"/>
        <v>2000</v>
      </c>
      <c r="AA348" s="198">
        <v>2000</v>
      </c>
      <c r="AB348" s="198">
        <v>2000</v>
      </c>
      <c r="AC348" s="196"/>
      <c r="AD348" s="88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</row>
    <row r="349" spans="1:256" ht="30" customHeight="1" x14ac:dyDescent="0.25">
      <c r="A349" s="227">
        <v>829200.11</v>
      </c>
      <c r="B349" s="232" t="s">
        <v>688</v>
      </c>
      <c r="C349" s="194">
        <v>78000</v>
      </c>
      <c r="D349" s="187"/>
      <c r="E349" s="202">
        <v>77579</v>
      </c>
      <c r="F349" s="194">
        <v>79000</v>
      </c>
      <c r="G349" s="188">
        <v>88910</v>
      </c>
      <c r="H349" s="195">
        <v>65056</v>
      </c>
      <c r="I349" s="188">
        <v>69025</v>
      </c>
      <c r="J349" s="189"/>
      <c r="K349" s="189">
        <f t="shared" si="143"/>
        <v>92033.333333333328</v>
      </c>
      <c r="L349" s="189">
        <v>55293</v>
      </c>
      <c r="M349" s="189">
        <f>L349/7*5</f>
        <v>39495</v>
      </c>
      <c r="N349" s="190">
        <v>88597</v>
      </c>
      <c r="O349" s="190">
        <v>88700</v>
      </c>
      <c r="P349" s="190">
        <f>M349+L349</f>
        <v>94788</v>
      </c>
      <c r="Q349" s="190">
        <f>O349*1.045</f>
        <v>92691.5</v>
      </c>
      <c r="R349" s="190">
        <f>49185*0.98</f>
        <v>48201.299999999996</v>
      </c>
      <c r="S349" s="190">
        <f>R349*2</f>
        <v>96402.599999999991</v>
      </c>
      <c r="T349" s="190">
        <f>S349</f>
        <v>96402.599999999991</v>
      </c>
      <c r="U349" s="190">
        <v>80337</v>
      </c>
      <c r="V349" s="190">
        <f t="shared" si="133"/>
        <v>96404.4</v>
      </c>
      <c r="W349" s="190">
        <v>97367</v>
      </c>
      <c r="X349" s="190">
        <v>80893</v>
      </c>
      <c r="Y349" s="190">
        <v>95000</v>
      </c>
      <c r="Z349" s="190">
        <v>98000</v>
      </c>
      <c r="AA349" s="191">
        <v>101000</v>
      </c>
      <c r="AB349" s="191">
        <v>97000</v>
      </c>
      <c r="AC349" s="196">
        <v>1</v>
      </c>
      <c r="AD349" s="88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</row>
    <row r="350" spans="1:256" ht="30" customHeight="1" x14ac:dyDescent="0.25">
      <c r="A350" s="228">
        <v>829200.43200000003</v>
      </c>
      <c r="B350" s="232" t="s">
        <v>143</v>
      </c>
      <c r="C350" s="194">
        <v>130000</v>
      </c>
      <c r="D350" s="187"/>
      <c r="E350" s="202">
        <v>160007</v>
      </c>
      <c r="F350" s="194">
        <v>200000</v>
      </c>
      <c r="G350" s="188">
        <v>70000</v>
      </c>
      <c r="H350" s="195">
        <f>7435+25000</f>
        <v>32435</v>
      </c>
      <c r="I350" s="188">
        <v>46086</v>
      </c>
      <c r="J350" s="189"/>
      <c r="K350" s="189">
        <f t="shared" si="143"/>
        <v>61448</v>
      </c>
      <c r="L350" s="189">
        <v>66000</v>
      </c>
      <c r="M350" s="189">
        <v>25000</v>
      </c>
      <c r="N350" s="188">
        <v>62000</v>
      </c>
      <c r="O350" s="188">
        <v>80000</v>
      </c>
      <c r="P350" s="188">
        <f t="shared" ref="P350:P358" si="144">L350+M350</f>
        <v>91000</v>
      </c>
      <c r="Q350" s="188">
        <v>60000</v>
      </c>
      <c r="R350" s="188">
        <f>16112+10000</f>
        <v>26112</v>
      </c>
      <c r="S350" s="188">
        <f t="shared" ref="S350:S358" si="145">R350*2</f>
        <v>52224</v>
      </c>
      <c r="T350" s="188">
        <f>Q350</f>
        <v>60000</v>
      </c>
      <c r="U350" s="188">
        <v>73947</v>
      </c>
      <c r="V350" s="190">
        <f t="shared" si="133"/>
        <v>88736.4</v>
      </c>
      <c r="W350" s="188">
        <v>80000</v>
      </c>
      <c r="X350" s="188">
        <v>129813</v>
      </c>
      <c r="Y350" s="188">
        <v>130000</v>
      </c>
      <c r="Z350" s="188">
        <v>80000</v>
      </c>
      <c r="AA350" s="198">
        <v>57000</v>
      </c>
      <c r="AB350" s="198">
        <v>57000</v>
      </c>
      <c r="AC350" s="196"/>
      <c r="AD350" s="88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</row>
    <row r="351" spans="1:256" ht="30" customHeight="1" x14ac:dyDescent="0.25">
      <c r="A351" s="229">
        <v>829200.54</v>
      </c>
      <c r="B351" s="232" t="s">
        <v>144</v>
      </c>
      <c r="C351" s="194">
        <v>1000</v>
      </c>
      <c r="D351" s="187"/>
      <c r="E351" s="202">
        <v>639</v>
      </c>
      <c r="F351" s="194">
        <v>1000</v>
      </c>
      <c r="G351" s="188">
        <v>1000</v>
      </c>
      <c r="H351" s="195">
        <v>511</v>
      </c>
      <c r="I351" s="188">
        <v>498</v>
      </c>
      <c r="J351" s="189"/>
      <c r="K351" s="189">
        <f t="shared" si="143"/>
        <v>664</v>
      </c>
      <c r="L351" s="189">
        <v>276</v>
      </c>
      <c r="M351" s="189">
        <f t="shared" si="136"/>
        <v>138</v>
      </c>
      <c r="N351" s="188">
        <v>1000</v>
      </c>
      <c r="O351" s="188">
        <v>1000</v>
      </c>
      <c r="P351" s="188">
        <f t="shared" si="144"/>
        <v>414</v>
      </c>
      <c r="Q351" s="188">
        <f>O351</f>
        <v>1000</v>
      </c>
      <c r="R351" s="188">
        <v>500</v>
      </c>
      <c r="S351" s="188">
        <f t="shared" si="145"/>
        <v>1000</v>
      </c>
      <c r="T351" s="188">
        <f>Q351</f>
        <v>1000</v>
      </c>
      <c r="U351" s="188">
        <v>948</v>
      </c>
      <c r="V351" s="190">
        <f t="shared" si="133"/>
        <v>1137.5999999999999</v>
      </c>
      <c r="W351" s="188">
        <v>1500</v>
      </c>
      <c r="X351" s="188">
        <v>1658</v>
      </c>
      <c r="Y351" s="188">
        <v>2000</v>
      </c>
      <c r="Z351" s="188">
        <f t="shared" si="139"/>
        <v>2000</v>
      </c>
      <c r="AA351" s="198">
        <v>2000</v>
      </c>
      <c r="AB351" s="198">
        <v>2000</v>
      </c>
      <c r="AC351" s="196"/>
      <c r="AD351" s="88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</row>
    <row r="352" spans="1:256" ht="30" customHeight="1" x14ac:dyDescent="0.25">
      <c r="A352" s="229">
        <v>829200.72</v>
      </c>
      <c r="B352" s="232" t="s">
        <v>145</v>
      </c>
      <c r="C352" s="194">
        <v>70000</v>
      </c>
      <c r="D352" s="187"/>
      <c r="E352" s="202">
        <v>58787</v>
      </c>
      <c r="F352" s="194">
        <v>35000</v>
      </c>
      <c r="G352" s="188">
        <v>40000</v>
      </c>
      <c r="H352" s="195">
        <v>28770</v>
      </c>
      <c r="I352" s="188">
        <v>32284</v>
      </c>
      <c r="J352" s="189"/>
      <c r="K352" s="189">
        <f t="shared" si="143"/>
        <v>43045.333333333336</v>
      </c>
      <c r="L352" s="189">
        <v>43046</v>
      </c>
      <c r="M352" s="189">
        <f t="shared" si="136"/>
        <v>21523</v>
      </c>
      <c r="N352" s="188">
        <v>43000</v>
      </c>
      <c r="O352" s="188">
        <v>43000</v>
      </c>
      <c r="P352" s="188">
        <f t="shared" si="144"/>
        <v>64569</v>
      </c>
      <c r="Q352" s="188">
        <f>O352</f>
        <v>43000</v>
      </c>
      <c r="R352" s="188">
        <v>10538</v>
      </c>
      <c r="S352" s="188">
        <f t="shared" si="145"/>
        <v>21076</v>
      </c>
      <c r="T352" s="188">
        <v>33000</v>
      </c>
      <c r="U352" s="188">
        <v>30807</v>
      </c>
      <c r="V352" s="190">
        <f t="shared" si="133"/>
        <v>36968.400000000001</v>
      </c>
      <c r="W352" s="188">
        <v>45000</v>
      </c>
      <c r="X352" s="188">
        <v>37930</v>
      </c>
      <c r="Y352" s="188">
        <v>45000</v>
      </c>
      <c r="Z352" s="188">
        <f t="shared" si="139"/>
        <v>45000</v>
      </c>
      <c r="AA352" s="198">
        <v>17000</v>
      </c>
      <c r="AB352" s="198">
        <v>17000</v>
      </c>
      <c r="AC352" s="196"/>
      <c r="AD352" s="88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</row>
    <row r="353" spans="1:256" ht="30" customHeight="1" x14ac:dyDescent="0.25">
      <c r="A353" s="229">
        <v>829200.74</v>
      </c>
      <c r="B353" s="232" t="s">
        <v>146</v>
      </c>
      <c r="C353" s="194">
        <v>10000</v>
      </c>
      <c r="D353" s="187"/>
      <c r="E353" s="202">
        <v>500</v>
      </c>
      <c r="F353" s="194">
        <v>10000</v>
      </c>
      <c r="G353" s="188">
        <v>15000</v>
      </c>
      <c r="H353" s="195">
        <v>5600</v>
      </c>
      <c r="I353" s="188">
        <v>24905</v>
      </c>
      <c r="J353" s="189"/>
      <c r="K353" s="189">
        <f t="shared" si="143"/>
        <v>33206.666666666664</v>
      </c>
      <c r="L353" s="189">
        <v>17832</v>
      </c>
      <c r="M353" s="189">
        <f t="shared" si="136"/>
        <v>8916</v>
      </c>
      <c r="N353" s="188">
        <v>25000</v>
      </c>
      <c r="O353" s="188">
        <v>25000</v>
      </c>
      <c r="P353" s="188">
        <f t="shared" si="144"/>
        <v>26748</v>
      </c>
      <c r="Q353" s="188">
        <f>O353</f>
        <v>25000</v>
      </c>
      <c r="R353" s="188">
        <v>14822</v>
      </c>
      <c r="S353" s="188">
        <f>R353*2-5000</f>
        <v>24644</v>
      </c>
      <c r="T353" s="188">
        <f>Q353</f>
        <v>25000</v>
      </c>
      <c r="U353" s="188">
        <v>31495</v>
      </c>
      <c r="V353" s="190">
        <f t="shared" si="133"/>
        <v>37794</v>
      </c>
      <c r="W353" s="188">
        <v>25000</v>
      </c>
      <c r="X353" s="188">
        <v>5281</v>
      </c>
      <c r="Y353" s="188">
        <v>6000</v>
      </c>
      <c r="Z353" s="188">
        <f t="shared" si="139"/>
        <v>6000</v>
      </c>
      <c r="AA353" s="198">
        <v>9000</v>
      </c>
      <c r="AB353" s="198">
        <v>9000</v>
      </c>
      <c r="AC353" s="196"/>
      <c r="AD353" s="88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</row>
    <row r="354" spans="1:256" ht="30" customHeight="1" x14ac:dyDescent="0.25">
      <c r="A354" s="229">
        <v>829200.75</v>
      </c>
      <c r="B354" s="232" t="s">
        <v>148</v>
      </c>
      <c r="C354" s="194">
        <v>30000</v>
      </c>
      <c r="D354" s="187"/>
      <c r="E354" s="202">
        <v>28182</v>
      </c>
      <c r="F354" s="194">
        <v>30000</v>
      </c>
      <c r="G354" s="189">
        <f>35000-5000</f>
        <v>30000</v>
      </c>
      <c r="H354" s="195">
        <v>0</v>
      </c>
      <c r="I354" s="188">
        <v>19469</v>
      </c>
      <c r="J354" s="189"/>
      <c r="K354" s="189">
        <f t="shared" si="143"/>
        <v>25958.666666666668</v>
      </c>
      <c r="L354" s="189">
        <v>9459</v>
      </c>
      <c r="M354" s="189">
        <f t="shared" si="136"/>
        <v>4729.5</v>
      </c>
      <c r="N354" s="189">
        <v>25000</v>
      </c>
      <c r="O354" s="188">
        <v>25000</v>
      </c>
      <c r="P354" s="188">
        <f t="shared" si="144"/>
        <v>14188.5</v>
      </c>
      <c r="Q354" s="188">
        <v>65000</v>
      </c>
      <c r="R354" s="188">
        <v>35000</v>
      </c>
      <c r="S354" s="188">
        <f>R354*2-5000</f>
        <v>65000</v>
      </c>
      <c r="T354" s="188">
        <f>Q354</f>
        <v>65000</v>
      </c>
      <c r="U354" s="188">
        <v>64999</v>
      </c>
      <c r="V354" s="190">
        <f t="shared" si="133"/>
        <v>77998.8</v>
      </c>
      <c r="W354" s="188">
        <v>75000</v>
      </c>
      <c r="X354" s="188">
        <v>67673</v>
      </c>
      <c r="Y354" s="188">
        <v>75000</v>
      </c>
      <c r="Z354" s="188">
        <f t="shared" si="139"/>
        <v>75000</v>
      </c>
      <c r="AA354" s="198">
        <v>85000</v>
      </c>
      <c r="AB354" s="198">
        <v>85000</v>
      </c>
      <c r="AC354" s="196"/>
      <c r="AD354" s="88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</row>
    <row r="355" spans="1:256" ht="30" customHeight="1" x14ac:dyDescent="0.25">
      <c r="A355" s="229">
        <v>829200.78</v>
      </c>
      <c r="B355" s="232" t="s">
        <v>147</v>
      </c>
      <c r="C355" s="194">
        <v>4000</v>
      </c>
      <c r="D355" s="187"/>
      <c r="E355" s="202">
        <v>6809</v>
      </c>
      <c r="F355" s="194">
        <v>4000</v>
      </c>
      <c r="G355" s="189">
        <f>35000-5000</f>
        <v>30000</v>
      </c>
      <c r="H355" s="195">
        <v>5777</v>
      </c>
      <c r="I355" s="188">
        <v>22601</v>
      </c>
      <c r="J355" s="189"/>
      <c r="K355" s="189">
        <f t="shared" si="143"/>
        <v>30134.666666666668</v>
      </c>
      <c r="L355" s="189">
        <v>28305</v>
      </c>
      <c r="M355" s="189">
        <f t="shared" si="136"/>
        <v>14152.5</v>
      </c>
      <c r="N355" s="189">
        <v>30000</v>
      </c>
      <c r="O355" s="188">
        <v>46300</v>
      </c>
      <c r="P355" s="188">
        <f t="shared" si="144"/>
        <v>42457.5</v>
      </c>
      <c r="Q355" s="188">
        <f>66300+24000-3800</f>
        <v>86500</v>
      </c>
      <c r="R355" s="188">
        <v>27193</v>
      </c>
      <c r="S355" s="188">
        <f t="shared" si="145"/>
        <v>54386</v>
      </c>
      <c r="T355" s="188">
        <v>75000</v>
      </c>
      <c r="U355" s="188">
        <v>70220</v>
      </c>
      <c r="V355" s="190">
        <f t="shared" si="133"/>
        <v>84264</v>
      </c>
      <c r="W355" s="188">
        <v>75000</v>
      </c>
      <c r="X355" s="188">
        <v>69220</v>
      </c>
      <c r="Y355" s="188">
        <v>75000</v>
      </c>
      <c r="Z355" s="188">
        <f t="shared" si="139"/>
        <v>75000</v>
      </c>
      <c r="AA355" s="198">
        <v>85000</v>
      </c>
      <c r="AB355" s="198">
        <v>85000</v>
      </c>
      <c r="AC355" s="196"/>
      <c r="AD355" s="88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</row>
    <row r="356" spans="1:256" ht="30" customHeight="1" x14ac:dyDescent="0.25">
      <c r="A356" s="229">
        <v>829300.78</v>
      </c>
      <c r="B356" s="232" t="s">
        <v>149</v>
      </c>
      <c r="C356" s="202">
        <v>180000</v>
      </c>
      <c r="D356" s="187"/>
      <c r="E356" s="202">
        <v>218972</v>
      </c>
      <c r="F356" s="202">
        <v>200000</v>
      </c>
      <c r="G356" s="188">
        <v>250000</v>
      </c>
      <c r="H356" s="204">
        <v>204388</v>
      </c>
      <c r="I356" s="188">
        <v>230314</v>
      </c>
      <c r="J356" s="189"/>
      <c r="K356" s="189">
        <f t="shared" si="143"/>
        <v>307085.33333333331</v>
      </c>
      <c r="L356" s="189">
        <v>219089</v>
      </c>
      <c r="M356" s="189">
        <f t="shared" si="136"/>
        <v>109544.5</v>
      </c>
      <c r="N356" s="188">
        <v>250000</v>
      </c>
      <c r="O356" s="188">
        <v>266700</v>
      </c>
      <c r="P356" s="188">
        <f t="shared" si="144"/>
        <v>328633.5</v>
      </c>
      <c r="Q356" s="188">
        <f>75000+110000</f>
        <v>185000</v>
      </c>
      <c r="R356" s="188">
        <v>47400</v>
      </c>
      <c r="S356" s="188">
        <f t="shared" si="145"/>
        <v>94800</v>
      </c>
      <c r="T356" s="188">
        <v>110000</v>
      </c>
      <c r="U356" s="188">
        <v>97520</v>
      </c>
      <c r="V356" s="190">
        <f t="shared" si="133"/>
        <v>117024</v>
      </c>
      <c r="W356" s="188">
        <v>150000</v>
      </c>
      <c r="X356" s="188">
        <v>140295</v>
      </c>
      <c r="Y356" s="188">
        <v>150000</v>
      </c>
      <c r="Z356" s="188">
        <f t="shared" si="139"/>
        <v>150000</v>
      </c>
      <c r="AA356" s="198">
        <v>330000</v>
      </c>
      <c r="AB356" s="198">
        <v>330000</v>
      </c>
      <c r="AC356" s="196"/>
      <c r="AD356" s="88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</row>
    <row r="357" spans="1:256" ht="30" customHeight="1" x14ac:dyDescent="0.25">
      <c r="A357" s="229">
        <v>829500.82</v>
      </c>
      <c r="B357" s="232" t="s">
        <v>680</v>
      </c>
      <c r="C357" s="202"/>
      <c r="D357" s="187"/>
      <c r="E357" s="202"/>
      <c r="F357" s="202"/>
      <c r="G357" s="188"/>
      <c r="H357" s="204"/>
      <c r="I357" s="188"/>
      <c r="J357" s="189"/>
      <c r="K357" s="189"/>
      <c r="L357" s="189"/>
      <c r="M357" s="189"/>
      <c r="N357" s="188"/>
      <c r="O357" s="188"/>
      <c r="P357" s="188"/>
      <c r="Q357" s="188"/>
      <c r="R357" s="188"/>
      <c r="S357" s="188"/>
      <c r="T357" s="188"/>
      <c r="U357" s="188"/>
      <c r="V357" s="190"/>
      <c r="W357" s="188"/>
      <c r="X357" s="188"/>
      <c r="Y357" s="188"/>
      <c r="Z357" s="188">
        <v>100000</v>
      </c>
      <c r="AA357" s="198">
        <v>50000</v>
      </c>
      <c r="AB357" s="198">
        <v>50000</v>
      </c>
      <c r="AC357" s="196"/>
      <c r="AD357" s="88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</row>
    <row r="358" spans="1:256" ht="30" customHeight="1" x14ac:dyDescent="0.25">
      <c r="A358" s="229">
        <v>829900.82</v>
      </c>
      <c r="B358" s="232" t="s">
        <v>447</v>
      </c>
      <c r="C358" s="202"/>
      <c r="D358" s="203"/>
      <c r="E358" s="202"/>
      <c r="F358" s="202"/>
      <c r="G358" s="226">
        <f>200000+200000</f>
        <v>400000</v>
      </c>
      <c r="H358" s="204"/>
      <c r="I358" s="188">
        <v>400000</v>
      </c>
      <c r="J358" s="189"/>
      <c r="K358" s="189">
        <v>400000</v>
      </c>
      <c r="L358" s="189">
        <v>31629</v>
      </c>
      <c r="M358" s="189">
        <f t="shared" si="136"/>
        <v>15814.5</v>
      </c>
      <c r="N358" s="189">
        <v>400000</v>
      </c>
      <c r="O358" s="189">
        <v>31600</v>
      </c>
      <c r="P358" s="188">
        <f t="shared" si="144"/>
        <v>47443.5</v>
      </c>
      <c r="Q358" s="188">
        <f>450000-140000-110000</f>
        <v>200000</v>
      </c>
      <c r="R358" s="188">
        <v>0</v>
      </c>
      <c r="S358" s="188">
        <f t="shared" si="145"/>
        <v>0</v>
      </c>
      <c r="T358" s="188">
        <v>50000</v>
      </c>
      <c r="U358" s="188"/>
      <c r="V358" s="190">
        <f t="shared" si="133"/>
        <v>0</v>
      </c>
      <c r="W358" s="188">
        <v>250000</v>
      </c>
      <c r="X358" s="188">
        <v>50000</v>
      </c>
      <c r="Y358" s="188">
        <v>250000</v>
      </c>
      <c r="Z358" s="188">
        <v>300000</v>
      </c>
      <c r="AA358" s="198">
        <v>23000</v>
      </c>
      <c r="AB358" s="198">
        <v>100000</v>
      </c>
      <c r="AC358" s="196"/>
      <c r="AD358" s="88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</row>
    <row r="359" spans="1:256" ht="30" customHeight="1" x14ac:dyDescent="0.25">
      <c r="A359" s="229">
        <v>829990.82</v>
      </c>
      <c r="B359" s="232" t="s">
        <v>673</v>
      </c>
      <c r="C359" s="202"/>
      <c r="D359" s="203"/>
      <c r="E359" s="202"/>
      <c r="F359" s="202"/>
      <c r="G359" s="226"/>
      <c r="H359" s="204"/>
      <c r="I359" s="188"/>
      <c r="J359" s="189"/>
      <c r="K359" s="189"/>
      <c r="L359" s="189"/>
      <c r="M359" s="189"/>
      <c r="N359" s="189"/>
      <c r="O359" s="189"/>
      <c r="P359" s="188"/>
      <c r="Q359" s="188"/>
      <c r="R359" s="188"/>
      <c r="S359" s="188"/>
      <c r="T359" s="188"/>
      <c r="U359" s="188"/>
      <c r="V359" s="190"/>
      <c r="W359" s="188"/>
      <c r="X359" s="188"/>
      <c r="Y359" s="188"/>
      <c r="Z359" s="188">
        <v>100000</v>
      </c>
      <c r="AA359" s="198">
        <v>100000</v>
      </c>
      <c r="AB359" s="198">
        <v>100000</v>
      </c>
      <c r="AC359" s="196"/>
      <c r="AD359" s="88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</row>
    <row r="360" spans="1:256" ht="30" customHeight="1" x14ac:dyDescent="0.25">
      <c r="A360" s="222"/>
      <c r="B360" s="275" t="s">
        <v>35</v>
      </c>
      <c r="C360" s="211">
        <f>SUM(C330:C356)</f>
        <v>2582000</v>
      </c>
      <c r="D360" s="211">
        <f>SUM(D330:D356)</f>
        <v>0</v>
      </c>
      <c r="E360" s="211">
        <f>SUM(E330:E356)</f>
        <v>3402735</v>
      </c>
      <c r="F360" s="211">
        <f>SUM(F330:F356)</f>
        <v>3353753</v>
      </c>
      <c r="G360" s="212">
        <f t="shared" ref="G360:Q360" si="146">SUM(G330:G358)</f>
        <v>4687215</v>
      </c>
      <c r="H360" s="212">
        <f t="shared" si="146"/>
        <v>2748741</v>
      </c>
      <c r="I360" s="212">
        <f t="shared" si="146"/>
        <v>3712877</v>
      </c>
      <c r="J360" s="213">
        <f t="shared" si="146"/>
        <v>0</v>
      </c>
      <c r="K360" s="213">
        <f t="shared" si="146"/>
        <v>4717169.333333333</v>
      </c>
      <c r="L360" s="213">
        <f t="shared" si="146"/>
        <v>2434829</v>
      </c>
      <c r="M360" s="213">
        <f t="shared" si="146"/>
        <v>1724465.357142857</v>
      </c>
      <c r="N360" s="212">
        <f t="shared" si="146"/>
        <v>4464561</v>
      </c>
      <c r="O360" s="212">
        <f t="shared" si="146"/>
        <v>4241500</v>
      </c>
      <c r="P360" s="212">
        <f t="shared" si="146"/>
        <v>4159294.3571428568</v>
      </c>
      <c r="Q360" s="212">
        <f t="shared" si="146"/>
        <v>4509480.5</v>
      </c>
      <c r="R360" s="212">
        <f t="shared" ref="R360:AC360" si="147">SUM(R330:R358)</f>
        <v>1870477.6049999997</v>
      </c>
      <c r="S360" s="212">
        <f t="shared" si="147"/>
        <v>3730955.2099999995</v>
      </c>
      <c r="T360" s="212">
        <f t="shared" si="147"/>
        <v>4529769.209999999</v>
      </c>
      <c r="U360" s="212">
        <f t="shared" si="147"/>
        <v>3555873</v>
      </c>
      <c r="V360" s="212">
        <f t="shared" si="147"/>
        <v>4397047.5999999996</v>
      </c>
      <c r="W360" s="212">
        <f t="shared" si="147"/>
        <v>4558367</v>
      </c>
      <c r="X360" s="212">
        <f t="shared" si="147"/>
        <v>2958896</v>
      </c>
      <c r="Y360" s="212">
        <f t="shared" si="147"/>
        <v>4449000</v>
      </c>
      <c r="Z360" s="212">
        <f>SUM(Z330:Z359)</f>
        <v>4463800</v>
      </c>
      <c r="AA360" s="211">
        <f>SUM(AA330:AA359)</f>
        <v>4660000</v>
      </c>
      <c r="AB360" s="211">
        <f>SUM(AB330:AB359)</f>
        <v>6145000</v>
      </c>
      <c r="AC360" s="212">
        <f t="shared" si="147"/>
        <v>11.34</v>
      </c>
      <c r="AD360" s="88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</row>
    <row r="361" spans="1:256" ht="30" customHeight="1" x14ac:dyDescent="0.25">
      <c r="A361" s="227">
        <v>832300.11</v>
      </c>
      <c r="B361" s="232" t="s">
        <v>150</v>
      </c>
      <c r="C361" s="194">
        <v>190000</v>
      </c>
      <c r="D361" s="187"/>
      <c r="E361" s="202">
        <v>199338</v>
      </c>
      <c r="F361" s="194">
        <v>201000</v>
      </c>
      <c r="G361" s="188">
        <v>202860</v>
      </c>
      <c r="H361" s="195">
        <v>148435</v>
      </c>
      <c r="I361" s="188">
        <v>162658</v>
      </c>
      <c r="J361" s="189"/>
      <c r="K361" s="189">
        <f t="shared" si="143"/>
        <v>216877.33333333334</v>
      </c>
      <c r="L361" s="189">
        <v>131152</v>
      </c>
      <c r="M361" s="189">
        <f>L361/7*5</f>
        <v>93680</v>
      </c>
      <c r="N361" s="190">
        <v>212772</v>
      </c>
      <c r="O361" s="190">
        <v>233800</v>
      </c>
      <c r="P361" s="190">
        <f>M361+L361</f>
        <v>224832</v>
      </c>
      <c r="Q361" s="190">
        <f>O361*1.045</f>
        <v>244320.99999999997</v>
      </c>
      <c r="R361" s="190">
        <f>125961*0.98</f>
        <v>123441.78</v>
      </c>
      <c r="S361" s="190">
        <f t="shared" ref="S361:S364" si="148">R361*2</f>
        <v>246883.56</v>
      </c>
      <c r="T361" s="190">
        <f>S361</f>
        <v>246883.56</v>
      </c>
      <c r="U361" s="190">
        <v>207225</v>
      </c>
      <c r="V361" s="190">
        <f t="shared" si="133"/>
        <v>248670</v>
      </c>
      <c r="W361" s="190">
        <v>250000</v>
      </c>
      <c r="X361" s="190">
        <v>135288</v>
      </c>
      <c r="Y361" s="190">
        <v>162000</v>
      </c>
      <c r="Z361" s="190">
        <v>247500</v>
      </c>
      <c r="AA361" s="191">
        <v>220000</v>
      </c>
      <c r="AB361" s="191">
        <v>216000</v>
      </c>
      <c r="AC361" s="196">
        <v>1.25</v>
      </c>
      <c r="AD361" s="88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</row>
    <row r="362" spans="1:256" ht="30" customHeight="1" x14ac:dyDescent="0.25">
      <c r="A362" s="228">
        <v>832300.72</v>
      </c>
      <c r="B362" s="232" t="s">
        <v>222</v>
      </c>
      <c r="C362" s="194">
        <v>10000</v>
      </c>
      <c r="D362" s="187"/>
      <c r="E362" s="202">
        <v>18518</v>
      </c>
      <c r="F362" s="194">
        <v>18000</v>
      </c>
      <c r="G362" s="188">
        <v>55000</v>
      </c>
      <c r="H362" s="195">
        <v>40957</v>
      </c>
      <c r="I362" s="188">
        <v>9997</v>
      </c>
      <c r="J362" s="189"/>
      <c r="K362" s="189">
        <f t="shared" si="143"/>
        <v>13329.333333333334</v>
      </c>
      <c r="L362" s="189">
        <v>6264</v>
      </c>
      <c r="M362" s="189">
        <f t="shared" si="136"/>
        <v>3132</v>
      </c>
      <c r="N362" s="188">
        <v>15000</v>
      </c>
      <c r="O362" s="188">
        <v>12300</v>
      </c>
      <c r="P362" s="188">
        <f>L362+M362</f>
        <v>9396</v>
      </c>
      <c r="Q362" s="188">
        <f>O362</f>
        <v>12300</v>
      </c>
      <c r="R362" s="188">
        <v>0</v>
      </c>
      <c r="S362" s="188">
        <f t="shared" si="148"/>
        <v>0</v>
      </c>
      <c r="T362" s="188">
        <v>8000</v>
      </c>
      <c r="U362" s="188">
        <v>1180</v>
      </c>
      <c r="V362" s="190">
        <f t="shared" si="133"/>
        <v>1416</v>
      </c>
      <c r="W362" s="188">
        <v>10000</v>
      </c>
      <c r="X362" s="188">
        <v>3575</v>
      </c>
      <c r="Y362" s="188">
        <v>4000</v>
      </c>
      <c r="Z362" s="188">
        <f t="shared" ref="Z362:Z369" si="149">Y362</f>
        <v>4000</v>
      </c>
      <c r="AA362" s="198"/>
      <c r="AB362" s="198"/>
      <c r="AC362" s="196"/>
      <c r="AD362" s="88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</row>
    <row r="363" spans="1:256" ht="30" customHeight="1" x14ac:dyDescent="0.25">
      <c r="A363" s="229">
        <v>832300.75</v>
      </c>
      <c r="B363" s="232" t="s">
        <v>223</v>
      </c>
      <c r="C363" s="194">
        <v>45000</v>
      </c>
      <c r="D363" s="187"/>
      <c r="E363" s="202">
        <v>35040</v>
      </c>
      <c r="F363" s="194">
        <v>35000</v>
      </c>
      <c r="G363" s="188">
        <v>24000</v>
      </c>
      <c r="H363" s="195">
        <v>18000</v>
      </c>
      <c r="I363" s="188">
        <v>14880</v>
      </c>
      <c r="J363" s="189"/>
      <c r="K363" s="189">
        <f t="shared" si="143"/>
        <v>19840</v>
      </c>
      <c r="L363" s="189">
        <v>12240</v>
      </c>
      <c r="M363" s="189">
        <f t="shared" si="136"/>
        <v>6120</v>
      </c>
      <c r="N363" s="188">
        <v>20000</v>
      </c>
      <c r="O363" s="188">
        <v>20000</v>
      </c>
      <c r="P363" s="188">
        <f>L363+M363</f>
        <v>18360</v>
      </c>
      <c r="Q363" s="188">
        <f>O363</f>
        <v>20000</v>
      </c>
      <c r="R363" s="188">
        <v>0</v>
      </c>
      <c r="S363" s="188">
        <f t="shared" si="148"/>
        <v>0</v>
      </c>
      <c r="T363" s="188">
        <v>10000</v>
      </c>
      <c r="U363" s="188">
        <v>15120</v>
      </c>
      <c r="V363" s="190">
        <f t="shared" si="133"/>
        <v>18144</v>
      </c>
      <c r="W363" s="188">
        <v>20000</v>
      </c>
      <c r="X363" s="188">
        <v>2800</v>
      </c>
      <c r="Y363" s="188">
        <v>3500</v>
      </c>
      <c r="Z363" s="188">
        <f t="shared" si="149"/>
        <v>3500</v>
      </c>
      <c r="AA363" s="198"/>
      <c r="AB363" s="198"/>
      <c r="AC363" s="196"/>
      <c r="AD363" s="88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</row>
    <row r="364" spans="1:256" ht="30" customHeight="1" x14ac:dyDescent="0.25">
      <c r="A364" s="227">
        <v>832400.11</v>
      </c>
      <c r="B364" s="232" t="s">
        <v>36</v>
      </c>
      <c r="C364" s="194">
        <v>210000</v>
      </c>
      <c r="D364" s="187"/>
      <c r="E364" s="202">
        <v>218969</v>
      </c>
      <c r="F364" s="194">
        <v>224000</v>
      </c>
      <c r="G364" s="188">
        <v>266040</v>
      </c>
      <c r="H364" s="195">
        <v>180032</v>
      </c>
      <c r="I364" s="188">
        <v>230375</v>
      </c>
      <c r="J364" s="189"/>
      <c r="K364" s="189">
        <f t="shared" si="143"/>
        <v>307166.66666666669</v>
      </c>
      <c r="L364" s="189">
        <v>179279</v>
      </c>
      <c r="M364" s="189">
        <f>L364/7*5</f>
        <v>128056.42857142857</v>
      </c>
      <c r="N364" s="190">
        <v>299690</v>
      </c>
      <c r="O364" s="190">
        <v>282500</v>
      </c>
      <c r="P364" s="190">
        <f>M364+L364</f>
        <v>307335.42857142858</v>
      </c>
      <c r="Q364" s="190">
        <f>O364*1.045</f>
        <v>295212.5</v>
      </c>
      <c r="R364" s="190">
        <f>150713.098</f>
        <v>150713.098</v>
      </c>
      <c r="S364" s="190">
        <f t="shared" si="148"/>
        <v>301426.196</v>
      </c>
      <c r="T364" s="190">
        <f>S364</f>
        <v>301426.196</v>
      </c>
      <c r="U364" s="190">
        <v>247117</v>
      </c>
      <c r="V364" s="190">
        <f t="shared" si="133"/>
        <v>296540.40000000002</v>
      </c>
      <c r="W364" s="190">
        <v>305000</v>
      </c>
      <c r="X364" s="190">
        <v>251596</v>
      </c>
      <c r="Y364" s="190">
        <v>297000</v>
      </c>
      <c r="Z364" s="190">
        <v>287000</v>
      </c>
      <c r="AA364" s="191">
        <v>301000</v>
      </c>
      <c r="AB364" s="191">
        <v>263000</v>
      </c>
      <c r="AC364" s="196">
        <v>3</v>
      </c>
      <c r="AD364" s="88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</row>
    <row r="365" spans="1:256" ht="30" customHeight="1" x14ac:dyDescent="0.25">
      <c r="A365" s="229">
        <v>832400.41</v>
      </c>
      <c r="B365" s="232" t="s">
        <v>151</v>
      </c>
      <c r="C365" s="194">
        <v>13000</v>
      </c>
      <c r="D365" s="187"/>
      <c r="E365" s="202">
        <v>21153</v>
      </c>
      <c r="F365" s="194">
        <v>16000</v>
      </c>
      <c r="G365" s="188">
        <v>20000</v>
      </c>
      <c r="H365" s="195">
        <v>14983</v>
      </c>
      <c r="I365" s="188">
        <v>9389</v>
      </c>
      <c r="J365" s="189"/>
      <c r="K365" s="189">
        <f t="shared" si="143"/>
        <v>12518.666666666666</v>
      </c>
      <c r="L365" s="189">
        <v>10050</v>
      </c>
      <c r="M365" s="189">
        <f t="shared" si="136"/>
        <v>5025</v>
      </c>
      <c r="N365" s="188">
        <v>12000</v>
      </c>
      <c r="O365" s="188">
        <v>10000</v>
      </c>
      <c r="P365" s="188">
        <f t="shared" ref="P365:P369" si="150">L365+M365</f>
        <v>15075</v>
      </c>
      <c r="Q365" s="188">
        <f t="shared" ref="Q365:Q369" si="151">O365</f>
        <v>10000</v>
      </c>
      <c r="R365" s="188">
        <v>9790</v>
      </c>
      <c r="S365" s="188">
        <f t="shared" ref="S365:S369" si="152">R365*2</f>
        <v>19580</v>
      </c>
      <c r="T365" s="188">
        <v>19580</v>
      </c>
      <c r="U365" s="188">
        <v>19475</v>
      </c>
      <c r="V365" s="190">
        <f t="shared" si="133"/>
        <v>23370</v>
      </c>
      <c r="W365" s="188">
        <v>19580</v>
      </c>
      <c r="X365" s="188">
        <v>14178</v>
      </c>
      <c r="Y365" s="188">
        <v>19000</v>
      </c>
      <c r="Z365" s="188">
        <f t="shared" si="149"/>
        <v>19000</v>
      </c>
      <c r="AA365" s="198">
        <v>16000</v>
      </c>
      <c r="AB365" s="198">
        <v>16000</v>
      </c>
      <c r="AC365" s="196"/>
      <c r="AD365" s="88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</row>
    <row r="366" spans="1:256" ht="30" customHeight="1" x14ac:dyDescent="0.25">
      <c r="A366" s="229">
        <v>832400.43099999998</v>
      </c>
      <c r="B366" s="232" t="s">
        <v>152</v>
      </c>
      <c r="C366" s="194">
        <v>14000</v>
      </c>
      <c r="D366" s="187"/>
      <c r="E366" s="202">
        <v>18396</v>
      </c>
      <c r="F366" s="194">
        <v>14000</v>
      </c>
      <c r="G366" s="188">
        <v>20000</v>
      </c>
      <c r="H366" s="195">
        <v>14327</v>
      </c>
      <c r="I366" s="188">
        <v>7848</v>
      </c>
      <c r="J366" s="189"/>
      <c r="K366" s="189">
        <f t="shared" si="143"/>
        <v>10464</v>
      </c>
      <c r="L366" s="189">
        <v>20886</v>
      </c>
      <c r="M366" s="189">
        <f t="shared" si="136"/>
        <v>10443</v>
      </c>
      <c r="N366" s="188">
        <v>10000</v>
      </c>
      <c r="O366" s="188">
        <v>29000</v>
      </c>
      <c r="P366" s="188">
        <f t="shared" si="150"/>
        <v>31329</v>
      </c>
      <c r="Q366" s="188">
        <f t="shared" si="151"/>
        <v>29000</v>
      </c>
      <c r="R366" s="188">
        <v>7391</v>
      </c>
      <c r="S366" s="188">
        <f t="shared" si="152"/>
        <v>14782</v>
      </c>
      <c r="T366" s="188">
        <v>20000</v>
      </c>
      <c r="U366" s="188">
        <v>53644</v>
      </c>
      <c r="V366" s="190">
        <f t="shared" si="133"/>
        <v>64372.800000000003</v>
      </c>
      <c r="W366" s="188">
        <v>60000</v>
      </c>
      <c r="X366" s="188">
        <v>60238</v>
      </c>
      <c r="Y366" s="188">
        <v>62000</v>
      </c>
      <c r="Z366" s="188">
        <f t="shared" si="149"/>
        <v>62000</v>
      </c>
      <c r="AA366" s="198">
        <v>76000</v>
      </c>
      <c r="AB366" s="198">
        <v>76000</v>
      </c>
      <c r="AC366" s="196"/>
      <c r="AD366" s="88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</row>
    <row r="367" spans="1:256" ht="30" customHeight="1" x14ac:dyDescent="0.25">
      <c r="A367" s="229">
        <v>832400.43200000003</v>
      </c>
      <c r="B367" s="232" t="s">
        <v>153</v>
      </c>
      <c r="C367" s="194">
        <v>2000</v>
      </c>
      <c r="D367" s="187"/>
      <c r="E367" s="202">
        <v>3862</v>
      </c>
      <c r="F367" s="194">
        <v>6000</v>
      </c>
      <c r="G367" s="188">
        <v>7000</v>
      </c>
      <c r="H367" s="195">
        <v>5323</v>
      </c>
      <c r="I367" s="188">
        <v>3242</v>
      </c>
      <c r="J367" s="189"/>
      <c r="K367" s="189">
        <f t="shared" si="143"/>
        <v>4322.666666666667</v>
      </c>
      <c r="L367" s="189">
        <v>5750</v>
      </c>
      <c r="M367" s="189">
        <f t="shared" si="136"/>
        <v>2875</v>
      </c>
      <c r="N367" s="188">
        <v>4000</v>
      </c>
      <c r="O367" s="188">
        <v>4000</v>
      </c>
      <c r="P367" s="188">
        <f t="shared" si="150"/>
        <v>8625</v>
      </c>
      <c r="Q367" s="188">
        <f t="shared" si="151"/>
        <v>4000</v>
      </c>
      <c r="R367" s="188">
        <v>2464</v>
      </c>
      <c r="S367" s="188">
        <f t="shared" si="152"/>
        <v>4928</v>
      </c>
      <c r="T367" s="188">
        <v>4928</v>
      </c>
      <c r="U367" s="188">
        <v>5897</v>
      </c>
      <c r="V367" s="190">
        <f t="shared" si="133"/>
        <v>7076.4</v>
      </c>
      <c r="W367" s="188">
        <v>6000</v>
      </c>
      <c r="X367" s="188">
        <v>7491</v>
      </c>
      <c r="Y367" s="188">
        <v>9000</v>
      </c>
      <c r="Z367" s="188">
        <f t="shared" si="149"/>
        <v>9000</v>
      </c>
      <c r="AA367" s="198">
        <v>11000</v>
      </c>
      <c r="AB367" s="198">
        <v>11000</v>
      </c>
      <c r="AC367" s="196"/>
      <c r="AD367" s="88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</row>
    <row r="368" spans="1:256" ht="30" customHeight="1" x14ac:dyDescent="0.25">
      <c r="A368" s="229">
        <v>832400.54</v>
      </c>
      <c r="B368" s="232" t="s">
        <v>154</v>
      </c>
      <c r="C368" s="194">
        <v>5000</v>
      </c>
      <c r="D368" s="187"/>
      <c r="E368" s="202">
        <v>5015</v>
      </c>
      <c r="F368" s="194">
        <v>5000</v>
      </c>
      <c r="G368" s="188">
        <v>6000</v>
      </c>
      <c r="H368" s="195">
        <v>4199</v>
      </c>
      <c r="I368" s="188">
        <v>3108</v>
      </c>
      <c r="J368" s="189"/>
      <c r="K368" s="189">
        <f t="shared" si="143"/>
        <v>4144</v>
      </c>
      <c r="L368" s="189">
        <v>2303</v>
      </c>
      <c r="M368" s="189">
        <f t="shared" si="136"/>
        <v>1151.5</v>
      </c>
      <c r="N368" s="188">
        <v>4000</v>
      </c>
      <c r="O368" s="188">
        <v>4000</v>
      </c>
      <c r="P368" s="188">
        <f t="shared" si="150"/>
        <v>3454.5</v>
      </c>
      <c r="Q368" s="188">
        <f t="shared" si="151"/>
        <v>4000</v>
      </c>
      <c r="R368" s="188">
        <v>1809</v>
      </c>
      <c r="S368" s="188">
        <f t="shared" si="152"/>
        <v>3618</v>
      </c>
      <c r="T368" s="188">
        <f>Q368</f>
        <v>4000</v>
      </c>
      <c r="U368" s="188">
        <v>3103</v>
      </c>
      <c r="V368" s="190">
        <f t="shared" si="133"/>
        <v>3723.6</v>
      </c>
      <c r="W368" s="188">
        <v>4000</v>
      </c>
      <c r="X368" s="188">
        <v>3713</v>
      </c>
      <c r="Y368" s="188">
        <v>4000</v>
      </c>
      <c r="Z368" s="188">
        <f t="shared" si="149"/>
        <v>4000</v>
      </c>
      <c r="AA368" s="198">
        <v>3000</v>
      </c>
      <c r="AB368" s="198">
        <v>3000</v>
      </c>
      <c r="AC368" s="196"/>
      <c r="AD368" s="88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</row>
    <row r="369" spans="1:256" ht="30" customHeight="1" x14ac:dyDescent="0.25">
      <c r="A369" s="229">
        <v>832400.78</v>
      </c>
      <c r="B369" s="232" t="s">
        <v>155</v>
      </c>
      <c r="C369" s="194">
        <v>20000</v>
      </c>
      <c r="D369" s="187"/>
      <c r="E369" s="202">
        <v>15006</v>
      </c>
      <c r="F369" s="194">
        <v>20000</v>
      </c>
      <c r="G369" s="189">
        <f>20000-5000</f>
        <v>15000</v>
      </c>
      <c r="H369" s="195">
        <v>11167</v>
      </c>
      <c r="I369" s="188">
        <v>9019</v>
      </c>
      <c r="J369" s="189"/>
      <c r="K369" s="189">
        <f t="shared" si="143"/>
        <v>12025.333333333334</v>
      </c>
      <c r="L369" s="189">
        <v>6562</v>
      </c>
      <c r="M369" s="189">
        <f t="shared" si="136"/>
        <v>3281</v>
      </c>
      <c r="N369" s="189">
        <v>12000</v>
      </c>
      <c r="O369" s="188">
        <v>14200</v>
      </c>
      <c r="P369" s="188">
        <f t="shared" si="150"/>
        <v>9843</v>
      </c>
      <c r="Q369" s="188">
        <f t="shared" si="151"/>
        <v>14200</v>
      </c>
      <c r="R369" s="188">
        <v>3700</v>
      </c>
      <c r="S369" s="188">
        <f t="shared" si="152"/>
        <v>7400</v>
      </c>
      <c r="T369" s="188">
        <v>10000</v>
      </c>
      <c r="U369" s="188">
        <v>9586</v>
      </c>
      <c r="V369" s="190">
        <f t="shared" si="133"/>
        <v>11503.2</v>
      </c>
      <c r="W369" s="188">
        <v>10000</v>
      </c>
      <c r="X369" s="188">
        <v>8062</v>
      </c>
      <c r="Y369" s="188">
        <v>10000</v>
      </c>
      <c r="Z369" s="188">
        <f t="shared" si="149"/>
        <v>10000</v>
      </c>
      <c r="AA369" s="198">
        <v>7000</v>
      </c>
      <c r="AB369" s="198">
        <v>7000</v>
      </c>
      <c r="AC369" s="196"/>
      <c r="AD369" s="88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</row>
    <row r="370" spans="1:256" ht="30" customHeight="1" x14ac:dyDescent="0.25">
      <c r="A370" s="222"/>
      <c r="B370" s="275" t="s">
        <v>478</v>
      </c>
      <c r="C370" s="211">
        <f t="shared" ref="C370:AC370" si="153">SUM(C361:C369)</f>
        <v>509000</v>
      </c>
      <c r="D370" s="211">
        <f t="shared" si="153"/>
        <v>0</v>
      </c>
      <c r="E370" s="211">
        <f t="shared" si="153"/>
        <v>535297</v>
      </c>
      <c r="F370" s="211">
        <f t="shared" si="153"/>
        <v>539000</v>
      </c>
      <c r="G370" s="212">
        <f t="shared" si="153"/>
        <v>615900</v>
      </c>
      <c r="H370" s="212">
        <f t="shared" si="153"/>
        <v>437423</v>
      </c>
      <c r="I370" s="212">
        <f t="shared" si="153"/>
        <v>450516</v>
      </c>
      <c r="J370" s="213">
        <f t="shared" si="153"/>
        <v>0</v>
      </c>
      <c r="K370" s="213">
        <f t="shared" si="153"/>
        <v>600688</v>
      </c>
      <c r="L370" s="213">
        <f t="shared" si="153"/>
        <v>374486</v>
      </c>
      <c r="M370" s="213">
        <f t="shared" si="153"/>
        <v>253763.92857142858</v>
      </c>
      <c r="N370" s="212">
        <f t="shared" si="153"/>
        <v>589462</v>
      </c>
      <c r="O370" s="212">
        <f t="shared" si="153"/>
        <v>609800</v>
      </c>
      <c r="P370" s="212">
        <f t="shared" si="153"/>
        <v>628249.92857142864</v>
      </c>
      <c r="Q370" s="212">
        <f t="shared" si="153"/>
        <v>633033.5</v>
      </c>
      <c r="R370" s="212">
        <f t="shared" si="153"/>
        <v>299308.87800000003</v>
      </c>
      <c r="S370" s="212">
        <f t="shared" si="153"/>
        <v>598617.75600000005</v>
      </c>
      <c r="T370" s="212">
        <f t="shared" si="153"/>
        <v>624817.75600000005</v>
      </c>
      <c r="U370" s="212">
        <f t="shared" si="153"/>
        <v>562347</v>
      </c>
      <c r="V370" s="212">
        <f t="shared" si="153"/>
        <v>674816.4</v>
      </c>
      <c r="W370" s="212">
        <f t="shared" si="153"/>
        <v>684580</v>
      </c>
      <c r="X370" s="212">
        <f t="shared" si="153"/>
        <v>486941</v>
      </c>
      <c r="Y370" s="212">
        <f t="shared" si="153"/>
        <v>570500</v>
      </c>
      <c r="Z370" s="212">
        <f t="shared" si="153"/>
        <v>646000</v>
      </c>
      <c r="AA370" s="211">
        <f t="shared" si="153"/>
        <v>634000</v>
      </c>
      <c r="AB370" s="211">
        <f t="shared" si="153"/>
        <v>592000</v>
      </c>
      <c r="AC370" s="212">
        <f t="shared" si="153"/>
        <v>4.25</v>
      </c>
      <c r="AD370" s="88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</row>
    <row r="371" spans="1:256" ht="30" customHeight="1" x14ac:dyDescent="0.25">
      <c r="A371" s="227">
        <v>841000.11</v>
      </c>
      <c r="B371" s="232" t="s">
        <v>37</v>
      </c>
      <c r="C371" s="194">
        <v>2250000</v>
      </c>
      <c r="D371" s="187"/>
      <c r="E371" s="202">
        <v>2192496</v>
      </c>
      <c r="F371" s="194">
        <v>2205000</v>
      </c>
      <c r="G371" s="188">
        <v>2444500</v>
      </c>
      <c r="H371" s="195">
        <v>1788663</v>
      </c>
      <c r="I371" s="188">
        <v>1988121</v>
      </c>
      <c r="J371" s="189"/>
      <c r="K371" s="189">
        <f t="shared" si="143"/>
        <v>2650828</v>
      </c>
      <c r="L371" s="189">
        <v>1727866</v>
      </c>
      <c r="M371" s="189">
        <f>L371/7*5</f>
        <v>1234190</v>
      </c>
      <c r="N371" s="190">
        <v>2579432</v>
      </c>
      <c r="O371" s="190">
        <v>2838800</v>
      </c>
      <c r="P371" s="190">
        <f>M371+L371</f>
        <v>2962056</v>
      </c>
      <c r="Q371" s="190">
        <f>O371*1.045</f>
        <v>2966546</v>
      </c>
      <c r="R371" s="190">
        <f>1628803*0.985</f>
        <v>1604370.9550000001</v>
      </c>
      <c r="S371" s="190">
        <f>R371*2</f>
        <v>3208741.91</v>
      </c>
      <c r="T371" s="190">
        <f>S371</f>
        <v>3208741.91</v>
      </c>
      <c r="U371" s="190">
        <v>2729203</v>
      </c>
      <c r="V371" s="190">
        <f t="shared" si="133"/>
        <v>3275043.6</v>
      </c>
      <c r="W371" s="190">
        <v>3250000</v>
      </c>
      <c r="X371" s="190">
        <f>Y371*10/12</f>
        <v>2910833.3333333335</v>
      </c>
      <c r="Y371" s="190">
        <v>3493000</v>
      </c>
      <c r="Z371" s="190">
        <v>3550000</v>
      </c>
      <c r="AA371" s="191">
        <v>3705000</v>
      </c>
      <c r="AB371" s="191">
        <v>3723000</v>
      </c>
      <c r="AC371" s="196">
        <v>24.23</v>
      </c>
      <c r="AD371" s="88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</row>
    <row r="372" spans="1:256" ht="30" customHeight="1" x14ac:dyDescent="0.25">
      <c r="A372" s="229">
        <v>841000.41</v>
      </c>
      <c r="B372" s="232" t="s">
        <v>156</v>
      </c>
      <c r="C372" s="194">
        <v>50000</v>
      </c>
      <c r="D372" s="187"/>
      <c r="E372" s="202">
        <v>54820</v>
      </c>
      <c r="F372" s="194">
        <v>54000</v>
      </c>
      <c r="G372" s="188">
        <v>56000</v>
      </c>
      <c r="H372" s="195">
        <v>41826</v>
      </c>
      <c r="I372" s="188">
        <v>31660</v>
      </c>
      <c r="J372" s="189"/>
      <c r="K372" s="189">
        <f t="shared" si="143"/>
        <v>42213.333333333336</v>
      </c>
      <c r="L372" s="189">
        <v>21090</v>
      </c>
      <c r="M372" s="189">
        <v>21090</v>
      </c>
      <c r="N372" s="188">
        <v>42213</v>
      </c>
      <c r="O372" s="188">
        <v>42000</v>
      </c>
      <c r="P372" s="188">
        <f t="shared" ref="P372:P378" si="154">L372+M372</f>
        <v>42180</v>
      </c>
      <c r="Q372" s="188">
        <f t="shared" ref="Q372:Q377" si="155">O372</f>
        <v>42000</v>
      </c>
      <c r="R372" s="188">
        <v>2190</v>
      </c>
      <c r="S372" s="188">
        <f t="shared" ref="S372:S378" si="156">R372*2</f>
        <v>4380</v>
      </c>
      <c r="T372" s="188">
        <f t="shared" ref="T372:T377" si="157">Q372</f>
        <v>42000</v>
      </c>
      <c r="U372" s="188">
        <v>31635</v>
      </c>
      <c r="V372" s="190">
        <f t="shared" si="133"/>
        <v>37962</v>
      </c>
      <c r="W372" s="188">
        <v>42200</v>
      </c>
      <c r="X372" s="188">
        <v>31080</v>
      </c>
      <c r="Y372" s="188">
        <v>42000</v>
      </c>
      <c r="Z372" s="188">
        <f t="shared" ref="Z372:Z378" si="158">Y372</f>
        <v>42000</v>
      </c>
      <c r="AA372" s="198">
        <v>47000</v>
      </c>
      <c r="AB372" s="198">
        <v>47000</v>
      </c>
      <c r="AC372" s="196"/>
      <c r="AD372" s="88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</row>
    <row r="373" spans="1:256" ht="30" customHeight="1" x14ac:dyDescent="0.25">
      <c r="A373" s="229">
        <v>841000.43099999998</v>
      </c>
      <c r="B373" s="232" t="s">
        <v>157</v>
      </c>
      <c r="C373" s="194">
        <v>15000</v>
      </c>
      <c r="D373" s="187"/>
      <c r="E373" s="202">
        <v>12148</v>
      </c>
      <c r="F373" s="194">
        <v>15000</v>
      </c>
      <c r="G373" s="188">
        <v>18000</v>
      </c>
      <c r="H373" s="195">
        <v>10031</v>
      </c>
      <c r="I373" s="188">
        <v>9321</v>
      </c>
      <c r="J373" s="189"/>
      <c r="K373" s="189">
        <f t="shared" si="143"/>
        <v>12428</v>
      </c>
      <c r="L373" s="189">
        <v>4648</v>
      </c>
      <c r="M373" s="189">
        <f t="shared" si="136"/>
        <v>2324</v>
      </c>
      <c r="N373" s="188">
        <v>13000</v>
      </c>
      <c r="O373" s="188">
        <v>15900</v>
      </c>
      <c r="P373" s="188">
        <f t="shared" si="154"/>
        <v>6972</v>
      </c>
      <c r="Q373" s="188">
        <f t="shared" si="155"/>
        <v>15900</v>
      </c>
      <c r="R373" s="188">
        <v>9364</v>
      </c>
      <c r="S373" s="188">
        <f t="shared" si="156"/>
        <v>18728</v>
      </c>
      <c r="T373" s="188">
        <v>18728</v>
      </c>
      <c r="U373" s="188">
        <v>20123</v>
      </c>
      <c r="V373" s="190">
        <f t="shared" si="133"/>
        <v>24147.599999999999</v>
      </c>
      <c r="W373" s="188">
        <v>18000</v>
      </c>
      <c r="X373" s="188">
        <v>9751</v>
      </c>
      <c r="Y373" s="188">
        <v>11700</v>
      </c>
      <c r="Z373" s="188">
        <f t="shared" si="158"/>
        <v>11700</v>
      </c>
      <c r="AA373" s="198">
        <v>24000</v>
      </c>
      <c r="AB373" s="198">
        <v>24000</v>
      </c>
      <c r="AC373" s="196"/>
      <c r="AD373" s="88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</row>
    <row r="374" spans="1:256" ht="30" customHeight="1" x14ac:dyDescent="0.25">
      <c r="A374" s="229">
        <v>841000.43200000003</v>
      </c>
      <c r="B374" s="232" t="s">
        <v>158</v>
      </c>
      <c r="C374" s="194">
        <v>2000</v>
      </c>
      <c r="D374" s="187"/>
      <c r="E374" s="202">
        <v>1731</v>
      </c>
      <c r="F374" s="194">
        <v>5000</v>
      </c>
      <c r="G374" s="188">
        <v>6000</v>
      </c>
      <c r="H374" s="195">
        <v>1615</v>
      </c>
      <c r="I374" s="188">
        <v>2146</v>
      </c>
      <c r="J374" s="189"/>
      <c r="K374" s="189">
        <f t="shared" si="143"/>
        <v>2861.3333333333335</v>
      </c>
      <c r="L374" s="189">
        <v>1160</v>
      </c>
      <c r="M374" s="189">
        <v>1160</v>
      </c>
      <c r="N374" s="188">
        <v>3000</v>
      </c>
      <c r="O374" s="188">
        <v>3000</v>
      </c>
      <c r="P374" s="188">
        <f t="shared" si="154"/>
        <v>2320</v>
      </c>
      <c r="Q374" s="188">
        <f t="shared" si="155"/>
        <v>3000</v>
      </c>
      <c r="R374" s="188">
        <v>669</v>
      </c>
      <c r="S374" s="188">
        <v>3000</v>
      </c>
      <c r="T374" s="188">
        <f t="shared" si="157"/>
        <v>3000</v>
      </c>
      <c r="U374" s="188">
        <v>1388</v>
      </c>
      <c r="V374" s="190">
        <f t="shared" si="133"/>
        <v>1665.6</v>
      </c>
      <c r="W374" s="188">
        <v>3000</v>
      </c>
      <c r="X374" s="188">
        <v>1589</v>
      </c>
      <c r="Y374" s="188">
        <v>2000</v>
      </c>
      <c r="Z374" s="188">
        <f t="shared" si="158"/>
        <v>2000</v>
      </c>
      <c r="AA374" s="198">
        <v>2000</v>
      </c>
      <c r="AB374" s="198">
        <v>2000</v>
      </c>
      <c r="AC374" s="196"/>
      <c r="AD374" s="88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</row>
    <row r="375" spans="1:256" ht="30" customHeight="1" x14ac:dyDescent="0.25">
      <c r="A375" s="229">
        <v>841000.52099999995</v>
      </c>
      <c r="B375" s="232" t="s">
        <v>159</v>
      </c>
      <c r="C375" s="194">
        <v>2000</v>
      </c>
      <c r="D375" s="187"/>
      <c r="E375" s="202">
        <v>1215</v>
      </c>
      <c r="F375" s="194">
        <v>2000</v>
      </c>
      <c r="G375" s="188">
        <v>1500</v>
      </c>
      <c r="H375" s="195">
        <v>1060</v>
      </c>
      <c r="I375" s="188">
        <v>4035</v>
      </c>
      <c r="J375" s="189"/>
      <c r="K375" s="189">
        <f t="shared" si="143"/>
        <v>5380</v>
      </c>
      <c r="L375" s="189">
        <v>2968</v>
      </c>
      <c r="M375" s="189">
        <f t="shared" si="136"/>
        <v>1484</v>
      </c>
      <c r="N375" s="188">
        <v>5000</v>
      </c>
      <c r="O375" s="188">
        <v>6000</v>
      </c>
      <c r="P375" s="188">
        <f t="shared" si="154"/>
        <v>4452</v>
      </c>
      <c r="Q375" s="188">
        <f t="shared" si="155"/>
        <v>6000</v>
      </c>
      <c r="R375" s="188">
        <v>3120</v>
      </c>
      <c r="S375" s="188">
        <f>R375*2-240</f>
        <v>6000</v>
      </c>
      <c r="T375" s="188">
        <f t="shared" si="157"/>
        <v>6000</v>
      </c>
      <c r="U375" s="188">
        <v>4320</v>
      </c>
      <c r="V375" s="190">
        <f t="shared" ref="V375:V431" si="159">U375*12/10</f>
        <v>5184</v>
      </c>
      <c r="W375" s="188">
        <v>6000</v>
      </c>
      <c r="X375" s="188">
        <v>7665</v>
      </c>
      <c r="Y375" s="188">
        <v>11000</v>
      </c>
      <c r="Z375" s="188">
        <f t="shared" si="158"/>
        <v>11000</v>
      </c>
      <c r="AA375" s="198">
        <v>6000</v>
      </c>
      <c r="AB375" s="198">
        <v>6000</v>
      </c>
      <c r="AC375" s="196"/>
      <c r="AD375" s="88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</row>
    <row r="376" spans="1:256" ht="30" customHeight="1" x14ac:dyDescent="0.25">
      <c r="A376" s="229">
        <v>841000.54</v>
      </c>
      <c r="B376" s="232" t="s">
        <v>160</v>
      </c>
      <c r="C376" s="194">
        <v>21000</v>
      </c>
      <c r="D376" s="187"/>
      <c r="E376" s="202">
        <v>23616</v>
      </c>
      <c r="F376" s="194">
        <v>21000</v>
      </c>
      <c r="G376" s="188">
        <v>33000</v>
      </c>
      <c r="H376" s="195">
        <v>24780</v>
      </c>
      <c r="I376" s="188">
        <v>8635</v>
      </c>
      <c r="J376" s="189"/>
      <c r="K376" s="189">
        <f t="shared" si="143"/>
        <v>11513.333333333334</v>
      </c>
      <c r="L376" s="189">
        <v>5346</v>
      </c>
      <c r="M376" s="189">
        <f t="shared" si="136"/>
        <v>2673</v>
      </c>
      <c r="N376" s="188">
        <v>15000</v>
      </c>
      <c r="O376" s="188">
        <v>10800</v>
      </c>
      <c r="P376" s="188">
        <f t="shared" si="154"/>
        <v>8019</v>
      </c>
      <c r="Q376" s="188">
        <f t="shared" si="155"/>
        <v>10800</v>
      </c>
      <c r="R376" s="188">
        <v>3199</v>
      </c>
      <c r="S376" s="188">
        <f t="shared" si="156"/>
        <v>6398</v>
      </c>
      <c r="T376" s="188">
        <f t="shared" si="157"/>
        <v>10800</v>
      </c>
      <c r="U376" s="188">
        <v>6367</v>
      </c>
      <c r="V376" s="190">
        <f t="shared" si="159"/>
        <v>7640.4</v>
      </c>
      <c r="W376" s="188">
        <v>11000</v>
      </c>
      <c r="X376" s="188">
        <v>7130</v>
      </c>
      <c r="Y376" s="188">
        <v>8500</v>
      </c>
      <c r="Z376" s="188">
        <f t="shared" si="158"/>
        <v>8500</v>
      </c>
      <c r="AA376" s="198">
        <v>8000</v>
      </c>
      <c r="AB376" s="198">
        <v>8000</v>
      </c>
      <c r="AC376" s="196"/>
      <c r="AD376" s="88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</row>
    <row r="377" spans="1:256" ht="30" customHeight="1" x14ac:dyDescent="0.25">
      <c r="A377" s="229">
        <v>841000.56</v>
      </c>
      <c r="B377" s="232" t="s">
        <v>161</v>
      </c>
      <c r="C377" s="194">
        <v>20000</v>
      </c>
      <c r="D377" s="187"/>
      <c r="E377" s="202">
        <v>20678</v>
      </c>
      <c r="F377" s="194">
        <v>21000</v>
      </c>
      <c r="G377" s="188">
        <v>15000</v>
      </c>
      <c r="H377" s="195">
        <v>2238</v>
      </c>
      <c r="I377" s="188">
        <v>14415</v>
      </c>
      <c r="J377" s="189"/>
      <c r="K377" s="189">
        <f t="shared" si="143"/>
        <v>19220</v>
      </c>
      <c r="L377" s="189">
        <v>6241</v>
      </c>
      <c r="M377" s="189">
        <f t="shared" si="136"/>
        <v>3120.5</v>
      </c>
      <c r="N377" s="188">
        <v>19000</v>
      </c>
      <c r="O377" s="188">
        <v>19000</v>
      </c>
      <c r="P377" s="188">
        <f t="shared" si="154"/>
        <v>9361.5</v>
      </c>
      <c r="Q377" s="188">
        <f t="shared" si="155"/>
        <v>19000</v>
      </c>
      <c r="R377" s="188">
        <v>9540</v>
      </c>
      <c r="S377" s="188">
        <f>R377*2-80</f>
        <v>19000</v>
      </c>
      <c r="T377" s="188">
        <f t="shared" si="157"/>
        <v>19000</v>
      </c>
      <c r="U377" s="188">
        <v>9840</v>
      </c>
      <c r="V377" s="190">
        <f t="shared" si="159"/>
        <v>11808</v>
      </c>
      <c r="W377" s="188">
        <v>19000</v>
      </c>
      <c r="X377" s="188">
        <v>1994</v>
      </c>
      <c r="Y377" s="188">
        <v>2500</v>
      </c>
      <c r="Z377" s="188">
        <f t="shared" si="158"/>
        <v>2500</v>
      </c>
      <c r="AA377" s="198">
        <v>3000</v>
      </c>
      <c r="AB377" s="198">
        <v>3000</v>
      </c>
      <c r="AC377" s="196"/>
      <c r="AD377" s="88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</row>
    <row r="378" spans="1:256" ht="30" customHeight="1" x14ac:dyDescent="0.25">
      <c r="A378" s="229">
        <v>841000.78</v>
      </c>
      <c r="B378" s="232" t="s">
        <v>162</v>
      </c>
      <c r="C378" s="194">
        <v>70000</v>
      </c>
      <c r="D378" s="187"/>
      <c r="E378" s="202">
        <v>9956</v>
      </c>
      <c r="F378" s="194">
        <v>50000</v>
      </c>
      <c r="G378" s="188">
        <v>15000</v>
      </c>
      <c r="H378" s="195">
        <v>18470</v>
      </c>
      <c r="I378" s="188">
        <v>11710</v>
      </c>
      <c r="J378" s="189"/>
      <c r="K378" s="189">
        <f t="shared" si="143"/>
        <v>15613.333333333334</v>
      </c>
      <c r="L378" s="189">
        <v>7800</v>
      </c>
      <c r="M378" s="189">
        <f t="shared" si="136"/>
        <v>3900</v>
      </c>
      <c r="N378" s="188">
        <v>16000</v>
      </c>
      <c r="O378" s="188">
        <v>31800</v>
      </c>
      <c r="P378" s="188">
        <f t="shared" si="154"/>
        <v>11700</v>
      </c>
      <c r="Q378" s="188">
        <f t="shared" ref="Q378:Q439" si="160">O378</f>
        <v>31800</v>
      </c>
      <c r="R378" s="188">
        <v>6424</v>
      </c>
      <c r="S378" s="188">
        <f t="shared" si="156"/>
        <v>12848</v>
      </c>
      <c r="T378" s="188">
        <v>15000</v>
      </c>
      <c r="U378" s="188">
        <v>18633</v>
      </c>
      <c r="V378" s="190">
        <f t="shared" si="159"/>
        <v>22359.599999999999</v>
      </c>
      <c r="W378" s="188">
        <v>15000</v>
      </c>
      <c r="X378" s="188">
        <v>8409</v>
      </c>
      <c r="Y378" s="188">
        <v>10000</v>
      </c>
      <c r="Z378" s="188">
        <f t="shared" si="158"/>
        <v>10000</v>
      </c>
      <c r="AA378" s="198">
        <v>30000</v>
      </c>
      <c r="AB378" s="198">
        <v>10000</v>
      </c>
      <c r="AC378" s="196"/>
      <c r="AD378" s="88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</row>
    <row r="379" spans="1:256" ht="30" customHeight="1" x14ac:dyDescent="0.25">
      <c r="A379" s="222"/>
      <c r="B379" s="275" t="s">
        <v>163</v>
      </c>
      <c r="C379" s="211">
        <f t="shared" ref="C379:AC379" si="161">SUM(C371:C378)</f>
        <v>2430000</v>
      </c>
      <c r="D379" s="211">
        <f t="shared" si="161"/>
        <v>0</v>
      </c>
      <c r="E379" s="211">
        <f t="shared" si="161"/>
        <v>2316660</v>
      </c>
      <c r="F379" s="211">
        <f t="shared" si="161"/>
        <v>2373000</v>
      </c>
      <c r="G379" s="212">
        <f t="shared" si="161"/>
        <v>2589000</v>
      </c>
      <c r="H379" s="212">
        <f t="shared" si="161"/>
        <v>1888683</v>
      </c>
      <c r="I379" s="212">
        <f t="shared" si="161"/>
        <v>2070043</v>
      </c>
      <c r="J379" s="213">
        <f t="shared" si="161"/>
        <v>0</v>
      </c>
      <c r="K379" s="213">
        <f t="shared" si="161"/>
        <v>2760057.333333334</v>
      </c>
      <c r="L379" s="213">
        <f t="shared" si="161"/>
        <v>1777119</v>
      </c>
      <c r="M379" s="213">
        <f t="shared" si="161"/>
        <v>1269941.5</v>
      </c>
      <c r="N379" s="212">
        <f t="shared" si="161"/>
        <v>2692645</v>
      </c>
      <c r="O379" s="212">
        <f t="shared" si="161"/>
        <v>2967300</v>
      </c>
      <c r="P379" s="212">
        <f t="shared" si="161"/>
        <v>3047060.5</v>
      </c>
      <c r="Q379" s="212">
        <f t="shared" si="161"/>
        <v>3095046</v>
      </c>
      <c r="R379" s="212">
        <f t="shared" si="161"/>
        <v>1638876.9550000001</v>
      </c>
      <c r="S379" s="212">
        <f t="shared" si="161"/>
        <v>3279095.91</v>
      </c>
      <c r="T379" s="212">
        <f t="shared" si="161"/>
        <v>3323269.91</v>
      </c>
      <c r="U379" s="212">
        <f t="shared" si="161"/>
        <v>2821509</v>
      </c>
      <c r="V379" s="212">
        <f t="shared" si="161"/>
        <v>3385810.8000000003</v>
      </c>
      <c r="W379" s="212">
        <f t="shared" si="161"/>
        <v>3364200</v>
      </c>
      <c r="X379" s="212">
        <f t="shared" si="161"/>
        <v>2978451.3333333335</v>
      </c>
      <c r="Y379" s="212">
        <f t="shared" si="161"/>
        <v>3580700</v>
      </c>
      <c r="Z379" s="212">
        <f t="shared" si="161"/>
        <v>3637700</v>
      </c>
      <c r="AA379" s="211">
        <f t="shared" si="161"/>
        <v>3825000</v>
      </c>
      <c r="AB379" s="211">
        <f t="shared" si="161"/>
        <v>3823000</v>
      </c>
      <c r="AC379" s="212">
        <f t="shared" si="161"/>
        <v>24.23</v>
      </c>
      <c r="AD379" s="88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</row>
    <row r="380" spans="1:256" ht="30" customHeight="1" x14ac:dyDescent="0.25">
      <c r="A380" s="214"/>
      <c r="B380" s="232"/>
      <c r="C380" s="202"/>
      <c r="D380" s="203"/>
      <c r="E380" s="202"/>
      <c r="F380" s="202"/>
      <c r="G380" s="188"/>
      <c r="H380" s="204"/>
      <c r="I380" s="188"/>
      <c r="J380" s="189"/>
      <c r="K380" s="189"/>
      <c r="L380" s="189"/>
      <c r="M380" s="189"/>
      <c r="N380" s="188"/>
      <c r="O380" s="188"/>
      <c r="P380" s="188"/>
      <c r="Q380" s="188"/>
      <c r="R380" s="188"/>
      <c r="S380" s="188"/>
      <c r="T380" s="188"/>
      <c r="U380" s="188"/>
      <c r="V380" s="190"/>
      <c r="W380" s="188"/>
      <c r="X380" s="188"/>
      <c r="Y380" s="188"/>
      <c r="Z380" s="188"/>
      <c r="AA380" s="198"/>
      <c r="AB380" s="198"/>
      <c r="AC380" s="231"/>
      <c r="AD380" s="88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</row>
    <row r="381" spans="1:256" ht="30" customHeight="1" x14ac:dyDescent="0.25">
      <c r="A381" s="245">
        <v>842200.84</v>
      </c>
      <c r="B381" s="232" t="s">
        <v>164</v>
      </c>
      <c r="C381" s="194">
        <v>220000</v>
      </c>
      <c r="D381" s="187"/>
      <c r="E381" s="202">
        <v>307476</v>
      </c>
      <c r="F381" s="194">
        <v>300000</v>
      </c>
      <c r="G381" s="188">
        <v>300000</v>
      </c>
      <c r="H381" s="195">
        <v>285244</v>
      </c>
      <c r="I381" s="188">
        <v>359691</v>
      </c>
      <c r="J381" s="189"/>
      <c r="K381" s="189">
        <f t="shared" si="143"/>
        <v>479588</v>
      </c>
      <c r="L381" s="189">
        <v>261960</v>
      </c>
      <c r="M381" s="189">
        <f>L381/7*5</f>
        <v>187114.28571428574</v>
      </c>
      <c r="N381" s="188">
        <v>440000</v>
      </c>
      <c r="O381" s="188">
        <v>471700</v>
      </c>
      <c r="P381" s="188">
        <f>L381+M381</f>
        <v>449074.28571428574</v>
      </c>
      <c r="Q381" s="188">
        <f t="shared" si="160"/>
        <v>471700</v>
      </c>
      <c r="R381" s="188">
        <v>317735</v>
      </c>
      <c r="S381" s="188">
        <f>R381*2</f>
        <v>635470</v>
      </c>
      <c r="T381" s="188">
        <v>635470</v>
      </c>
      <c r="U381" s="188">
        <v>484776</v>
      </c>
      <c r="V381" s="190">
        <f t="shared" si="159"/>
        <v>581731.19999999995</v>
      </c>
      <c r="W381" s="188">
        <v>640000</v>
      </c>
      <c r="X381" s="188">
        <v>533268</v>
      </c>
      <c r="Y381" s="188">
        <v>640000</v>
      </c>
      <c r="Z381" s="188">
        <f>Y381</f>
        <v>640000</v>
      </c>
      <c r="AA381" s="198">
        <v>609000</v>
      </c>
      <c r="AB381" s="198">
        <v>609000</v>
      </c>
      <c r="AC381" s="196"/>
      <c r="AD381" s="88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</row>
    <row r="382" spans="1:256" ht="30" customHeight="1" x14ac:dyDescent="0.25">
      <c r="A382" s="245">
        <v>842300.78</v>
      </c>
      <c r="B382" s="232" t="s">
        <v>584</v>
      </c>
      <c r="C382" s="194">
        <v>1000</v>
      </c>
      <c r="D382" s="187"/>
      <c r="E382" s="202">
        <v>39709</v>
      </c>
      <c r="F382" s="194">
        <v>35000</v>
      </c>
      <c r="G382" s="188">
        <v>80000</v>
      </c>
      <c r="H382" s="195">
        <v>1800</v>
      </c>
      <c r="I382" s="188">
        <v>0</v>
      </c>
      <c r="J382" s="189"/>
      <c r="K382" s="189">
        <f t="shared" si="143"/>
        <v>0</v>
      </c>
      <c r="L382" s="189">
        <v>0</v>
      </c>
      <c r="M382" s="189">
        <f>L382/7*5</f>
        <v>0</v>
      </c>
      <c r="N382" s="189">
        <v>30000</v>
      </c>
      <c r="O382" s="188">
        <f>M382+L382</f>
        <v>0</v>
      </c>
      <c r="P382" s="188">
        <f>L382+M382</f>
        <v>0</v>
      </c>
      <c r="Q382" s="188">
        <v>186000</v>
      </c>
      <c r="R382" s="188">
        <v>0</v>
      </c>
      <c r="S382" s="188">
        <v>186000</v>
      </c>
      <c r="T382" s="188">
        <f>Q382</f>
        <v>186000</v>
      </c>
      <c r="U382" s="188"/>
      <c r="V382" s="190">
        <f t="shared" si="159"/>
        <v>0</v>
      </c>
      <c r="W382" s="188">
        <v>200000</v>
      </c>
      <c r="X382" s="188">
        <v>93266</v>
      </c>
      <c r="Y382" s="188">
        <v>112000</v>
      </c>
      <c r="Z382" s="188">
        <f>Y382</f>
        <v>112000</v>
      </c>
      <c r="AA382" s="198">
        <v>112000</v>
      </c>
      <c r="AB382" s="198">
        <v>112000</v>
      </c>
      <c r="AC382" s="196"/>
      <c r="AD382" s="88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</row>
    <row r="383" spans="1:256" ht="30" customHeight="1" x14ac:dyDescent="0.25">
      <c r="A383" s="246">
        <v>842400.11</v>
      </c>
      <c r="B383" s="280" t="s">
        <v>520</v>
      </c>
      <c r="C383" s="194"/>
      <c r="D383" s="187"/>
      <c r="E383" s="202"/>
      <c r="F383" s="194"/>
      <c r="G383" s="188">
        <v>838440</v>
      </c>
      <c r="H383" s="195">
        <v>145815</v>
      </c>
      <c r="I383" s="188">
        <v>512870</v>
      </c>
      <c r="J383" s="189"/>
      <c r="K383" s="189">
        <f t="shared" si="143"/>
        <v>683826.66666666663</v>
      </c>
      <c r="L383" s="189">
        <v>557254</v>
      </c>
      <c r="M383" s="189">
        <f>L383/7*5</f>
        <v>398038.57142857148</v>
      </c>
      <c r="N383" s="190">
        <v>644122</v>
      </c>
      <c r="O383" s="190">
        <v>1008900</v>
      </c>
      <c r="P383" s="190">
        <f>M383+L383</f>
        <v>955292.57142857148</v>
      </c>
      <c r="Q383" s="190">
        <v>1141800</v>
      </c>
      <c r="R383" s="190">
        <f>584618.59*0.985</f>
        <v>575849.31114999996</v>
      </c>
      <c r="S383" s="190">
        <f>R383*2</f>
        <v>1151698.6222999999</v>
      </c>
      <c r="T383" s="190">
        <f>S383</f>
        <v>1151698.6222999999</v>
      </c>
      <c r="U383" s="190">
        <v>988457</v>
      </c>
      <c r="V383" s="190">
        <f t="shared" si="159"/>
        <v>1186148.3999999999</v>
      </c>
      <c r="W383" s="190">
        <v>1320000</v>
      </c>
      <c r="X383" s="190">
        <f>Y383*10/12</f>
        <v>1091666.6666666667</v>
      </c>
      <c r="Y383" s="190">
        <v>1310000</v>
      </c>
      <c r="Z383" s="190">
        <v>1430000</v>
      </c>
      <c r="AA383" s="191">
        <v>1552000</v>
      </c>
      <c r="AB383" s="191">
        <v>1610000</v>
      </c>
      <c r="AC383" s="196">
        <v>14.18</v>
      </c>
      <c r="AD383" s="88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</row>
    <row r="384" spans="1:256" ht="30" customHeight="1" x14ac:dyDescent="0.25">
      <c r="A384" s="247"/>
      <c r="B384" s="233"/>
      <c r="C384" s="202"/>
      <c r="D384" s="203"/>
      <c r="E384" s="202"/>
      <c r="F384" s="202"/>
      <c r="G384" s="189"/>
      <c r="H384" s="204"/>
      <c r="I384" s="189"/>
      <c r="J384" s="189"/>
      <c r="K384" s="189"/>
      <c r="L384" s="189"/>
      <c r="M384" s="189"/>
      <c r="N384" s="189"/>
      <c r="O384" s="189"/>
      <c r="P384" s="188">
        <f>L384+M384</f>
        <v>0</v>
      </c>
      <c r="Q384" s="189">
        <v>120000</v>
      </c>
      <c r="R384" s="189">
        <v>26445</v>
      </c>
      <c r="S384" s="188">
        <v>120000</v>
      </c>
      <c r="T384" s="188">
        <f>Q384</f>
        <v>120000</v>
      </c>
      <c r="U384" s="189">
        <v>40965</v>
      </c>
      <c r="V384" s="190">
        <f t="shared" si="159"/>
        <v>49158</v>
      </c>
      <c r="W384" s="188"/>
      <c r="X384" s="188"/>
      <c r="Y384" s="188"/>
      <c r="Z384" s="188"/>
      <c r="AA384" s="198"/>
      <c r="AB384" s="198"/>
      <c r="AC384" s="196"/>
      <c r="AD384" s="88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</row>
    <row r="385" spans="1:256" ht="30" customHeight="1" x14ac:dyDescent="0.25">
      <c r="A385" s="222"/>
      <c r="B385" s="275" t="s">
        <v>165</v>
      </c>
      <c r="C385" s="211">
        <f>SUM(C380:C382)</f>
        <v>221000</v>
      </c>
      <c r="D385" s="211">
        <f>SUM(D380:D382)</f>
        <v>0</v>
      </c>
      <c r="E385" s="211">
        <f>SUM(E380:E382)</f>
        <v>347185</v>
      </c>
      <c r="F385" s="211">
        <f>SUM(F380:F382)</f>
        <v>335000</v>
      </c>
      <c r="G385" s="212">
        <f t="shared" ref="G385:M385" si="162">SUM(G380:G383)</f>
        <v>1218440</v>
      </c>
      <c r="H385" s="212">
        <f t="shared" si="162"/>
        <v>432859</v>
      </c>
      <c r="I385" s="212">
        <f t="shared" si="162"/>
        <v>872561</v>
      </c>
      <c r="J385" s="213">
        <f t="shared" si="162"/>
        <v>0</v>
      </c>
      <c r="K385" s="213">
        <f t="shared" si="162"/>
        <v>1163414.6666666665</v>
      </c>
      <c r="L385" s="213">
        <f t="shared" si="162"/>
        <v>819214</v>
      </c>
      <c r="M385" s="213">
        <f t="shared" si="162"/>
        <v>585152.85714285728</v>
      </c>
      <c r="N385" s="212">
        <f t="shared" ref="N385:T385" si="163">SUM(N380:N384)</f>
        <v>1114122</v>
      </c>
      <c r="O385" s="212">
        <f t="shared" si="163"/>
        <v>1480600</v>
      </c>
      <c r="P385" s="212">
        <f t="shared" si="163"/>
        <v>1404366.8571428573</v>
      </c>
      <c r="Q385" s="212">
        <f t="shared" si="163"/>
        <v>1919500</v>
      </c>
      <c r="R385" s="212">
        <f t="shared" si="163"/>
        <v>920029.31114999996</v>
      </c>
      <c r="S385" s="212">
        <f t="shared" si="163"/>
        <v>2093168.6222999999</v>
      </c>
      <c r="T385" s="212">
        <f t="shared" si="163"/>
        <v>2093168.6222999999</v>
      </c>
      <c r="U385" s="212">
        <f t="shared" ref="U385:AC385" si="164">SUM(U380:U384)</f>
        <v>1514198</v>
      </c>
      <c r="V385" s="212">
        <f t="shared" si="164"/>
        <v>1817037.5999999999</v>
      </c>
      <c r="W385" s="212">
        <f t="shared" si="164"/>
        <v>2160000</v>
      </c>
      <c r="X385" s="212">
        <f t="shared" si="164"/>
        <v>1718200.6666666667</v>
      </c>
      <c r="Y385" s="212">
        <f t="shared" si="164"/>
        <v>2062000</v>
      </c>
      <c r="Z385" s="212">
        <f t="shared" si="164"/>
        <v>2182000</v>
      </c>
      <c r="AA385" s="211">
        <f t="shared" si="164"/>
        <v>2273000</v>
      </c>
      <c r="AB385" s="211">
        <f t="shared" si="164"/>
        <v>2331000</v>
      </c>
      <c r="AC385" s="212">
        <f t="shared" si="164"/>
        <v>14.18</v>
      </c>
      <c r="AD385" s="88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</row>
    <row r="386" spans="1:256" ht="30" customHeight="1" x14ac:dyDescent="0.25">
      <c r="A386" s="246">
        <v>843500.11</v>
      </c>
      <c r="B386" s="232" t="s">
        <v>689</v>
      </c>
      <c r="C386" s="194">
        <v>120000</v>
      </c>
      <c r="D386" s="187"/>
      <c r="E386" s="202">
        <v>126025</v>
      </c>
      <c r="F386" s="194">
        <v>127000</v>
      </c>
      <c r="G386" s="188">
        <v>139775</v>
      </c>
      <c r="H386" s="195">
        <v>102271</v>
      </c>
      <c r="I386" s="188">
        <v>66681</v>
      </c>
      <c r="J386" s="189"/>
      <c r="K386" s="189">
        <f t="shared" si="143"/>
        <v>88908</v>
      </c>
      <c r="L386" s="189">
        <v>84043</v>
      </c>
      <c r="M386" s="189">
        <f>L386/7*5</f>
        <v>60030.714285714283</v>
      </c>
      <c r="N386" s="190">
        <v>80538</v>
      </c>
      <c r="O386" s="190">
        <v>119000</v>
      </c>
      <c r="P386" s="190">
        <f>M386+L386</f>
        <v>144073.71428571429</v>
      </c>
      <c r="Q386" s="190">
        <f>O386*1.045</f>
        <v>124354.99999999999</v>
      </c>
      <c r="R386" s="190">
        <f>44769*0.98</f>
        <v>43873.62</v>
      </c>
      <c r="S386" s="190">
        <f>R386*2</f>
        <v>87747.24</v>
      </c>
      <c r="T386" s="190">
        <f>S386</f>
        <v>87747.24</v>
      </c>
      <c r="U386" s="190">
        <v>71972</v>
      </c>
      <c r="V386" s="190">
        <f t="shared" si="159"/>
        <v>86366.399999999994</v>
      </c>
      <c r="W386" s="190"/>
      <c r="X386" s="190">
        <v>82476</v>
      </c>
      <c r="Y386" s="190">
        <v>99000</v>
      </c>
      <c r="Z386" s="190">
        <v>101000</v>
      </c>
      <c r="AA386" s="191">
        <v>98000</v>
      </c>
      <c r="AB386" s="191">
        <v>98000</v>
      </c>
      <c r="AC386" s="196">
        <v>0.42</v>
      </c>
      <c r="AD386" s="88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</row>
    <row r="387" spans="1:256" ht="30" customHeight="1" x14ac:dyDescent="0.25">
      <c r="A387" s="245">
        <v>843500.75</v>
      </c>
      <c r="B387" s="232" t="s">
        <v>690</v>
      </c>
      <c r="C387" s="194">
        <v>280000</v>
      </c>
      <c r="D387" s="187"/>
      <c r="E387" s="202">
        <v>560274</v>
      </c>
      <c r="F387" s="194">
        <v>530000</v>
      </c>
      <c r="G387" s="188">
        <v>600000</v>
      </c>
      <c r="H387" s="195">
        <v>500474</v>
      </c>
      <c r="I387" s="188">
        <v>393545</v>
      </c>
      <c r="J387" s="189"/>
      <c r="K387" s="189">
        <f t="shared" si="143"/>
        <v>524726.66666666663</v>
      </c>
      <c r="L387" s="189">
        <v>468550</v>
      </c>
      <c r="M387" s="189">
        <f>L387/7*5</f>
        <v>334678.57142857148</v>
      </c>
      <c r="N387" s="188">
        <v>525000</v>
      </c>
      <c r="O387" s="188">
        <v>767900</v>
      </c>
      <c r="P387" s="188">
        <f>L387+M387</f>
        <v>803228.57142857148</v>
      </c>
      <c r="Q387" s="188">
        <v>967900</v>
      </c>
      <c r="R387" s="188">
        <v>559970</v>
      </c>
      <c r="S387" s="188">
        <f>R387*2</f>
        <v>1119940</v>
      </c>
      <c r="T387" s="188">
        <v>1119940</v>
      </c>
      <c r="U387" s="188">
        <v>811936</v>
      </c>
      <c r="V387" s="190">
        <f t="shared" si="159"/>
        <v>974323.19999999995</v>
      </c>
      <c r="W387" s="188"/>
      <c r="X387" s="188">
        <v>4667</v>
      </c>
      <c r="Y387" s="188">
        <f>X387*12/10</f>
        <v>5600.4</v>
      </c>
      <c r="Z387" s="188">
        <f t="shared" ref="Z387:Z397" si="165">Y387</f>
        <v>5600.4</v>
      </c>
      <c r="AA387" s="198"/>
      <c r="AB387" s="198"/>
      <c r="AC387" s="196"/>
      <c r="AD387" s="88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</row>
    <row r="388" spans="1:256" ht="30" customHeight="1" x14ac:dyDescent="0.25">
      <c r="A388" s="245">
        <v>843500.78</v>
      </c>
      <c r="B388" s="232" t="s">
        <v>224</v>
      </c>
      <c r="C388" s="194">
        <v>12000</v>
      </c>
      <c r="D388" s="187"/>
      <c r="E388" s="202">
        <v>32157</v>
      </c>
      <c r="F388" s="194">
        <v>35000</v>
      </c>
      <c r="G388" s="188">
        <v>52000</v>
      </c>
      <c r="H388" s="195">
        <v>38848</v>
      </c>
      <c r="I388" s="188">
        <v>9401</v>
      </c>
      <c r="J388" s="189"/>
      <c r="K388" s="189">
        <f t="shared" si="143"/>
        <v>12534.666666666666</v>
      </c>
      <c r="L388" s="189">
        <v>2555</v>
      </c>
      <c r="M388" s="189">
        <f>L388/7*5</f>
        <v>1825</v>
      </c>
      <c r="N388" s="188">
        <v>15000</v>
      </c>
      <c r="O388" s="188">
        <v>2600</v>
      </c>
      <c r="P388" s="188">
        <f>L388+M388</f>
        <v>4380</v>
      </c>
      <c r="Q388" s="188">
        <f t="shared" si="160"/>
        <v>2600</v>
      </c>
      <c r="R388" s="188">
        <v>18888</v>
      </c>
      <c r="S388" s="188">
        <f>R388*2</f>
        <v>37776</v>
      </c>
      <c r="T388" s="188">
        <v>37776</v>
      </c>
      <c r="U388" s="188">
        <v>31768</v>
      </c>
      <c r="V388" s="190">
        <f t="shared" si="159"/>
        <v>38121.599999999999</v>
      </c>
      <c r="W388" s="188"/>
      <c r="X388" s="188">
        <v>8384</v>
      </c>
      <c r="Y388" s="188">
        <v>10000</v>
      </c>
      <c r="Z388" s="188">
        <f t="shared" si="165"/>
        <v>10000</v>
      </c>
      <c r="AA388" s="198">
        <v>2000</v>
      </c>
      <c r="AB388" s="198">
        <v>2000</v>
      </c>
      <c r="AC388" s="196"/>
      <c r="AD388" s="88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</row>
    <row r="389" spans="1:256" ht="30" customHeight="1" x14ac:dyDescent="0.25">
      <c r="A389" s="245">
        <v>843500.84</v>
      </c>
      <c r="B389" s="232" t="s">
        <v>166</v>
      </c>
      <c r="C389" s="194">
        <v>130000</v>
      </c>
      <c r="D389" s="187"/>
      <c r="E389" s="202">
        <v>184829</v>
      </c>
      <c r="F389" s="194">
        <v>187000</v>
      </c>
      <c r="G389" s="188">
        <v>247000</v>
      </c>
      <c r="H389" s="195">
        <v>184813</v>
      </c>
      <c r="I389" s="188">
        <v>199116</v>
      </c>
      <c r="J389" s="189"/>
      <c r="K389" s="189">
        <f t="shared" si="143"/>
        <v>265488</v>
      </c>
      <c r="L389" s="189">
        <v>313562</v>
      </c>
      <c r="M389" s="189">
        <f>L389/7*5</f>
        <v>223972.85714285713</v>
      </c>
      <c r="N389" s="188">
        <v>270000</v>
      </c>
      <c r="O389" s="188">
        <v>585400</v>
      </c>
      <c r="P389" s="188">
        <f>L389+M389</f>
        <v>537534.85714285716</v>
      </c>
      <c r="Q389" s="188">
        <f>O389-150000</f>
        <v>435400</v>
      </c>
      <c r="R389" s="188">
        <v>515092</v>
      </c>
      <c r="S389" s="188">
        <f>R389*2</f>
        <v>1030184</v>
      </c>
      <c r="T389" s="188">
        <v>1030184</v>
      </c>
      <c r="U389" s="188">
        <v>797009</v>
      </c>
      <c r="V389" s="190">
        <f t="shared" si="159"/>
        <v>956410.8</v>
      </c>
      <c r="W389" s="188">
        <v>2100000</v>
      </c>
      <c r="X389" s="188">
        <v>1115503</v>
      </c>
      <c r="Y389" s="188">
        <v>1338000</v>
      </c>
      <c r="Z389" s="188">
        <f t="shared" si="165"/>
        <v>1338000</v>
      </c>
      <c r="AA389" s="198">
        <v>628000</v>
      </c>
      <c r="AB389" s="205">
        <v>950000</v>
      </c>
      <c r="AC389" s="196"/>
      <c r="AD389" s="88"/>
      <c r="AE389" s="5">
        <v>9</v>
      </c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</row>
    <row r="390" spans="1:256" ht="30" customHeight="1" x14ac:dyDescent="0.25">
      <c r="A390" s="248"/>
      <c r="B390" s="275" t="s">
        <v>167</v>
      </c>
      <c r="C390" s="211">
        <f t="shared" ref="C390:K390" si="166">SUM(C386:C389)</f>
        <v>542000</v>
      </c>
      <c r="D390" s="211">
        <f t="shared" si="166"/>
        <v>0</v>
      </c>
      <c r="E390" s="211">
        <f t="shared" si="166"/>
        <v>903285</v>
      </c>
      <c r="F390" s="211">
        <f t="shared" si="166"/>
        <v>879000</v>
      </c>
      <c r="G390" s="212">
        <f>SUM(G386:G389)</f>
        <v>1038775</v>
      </c>
      <c r="H390" s="212">
        <f t="shared" si="166"/>
        <v>826406</v>
      </c>
      <c r="I390" s="212">
        <f t="shared" si="166"/>
        <v>668743</v>
      </c>
      <c r="J390" s="213">
        <f t="shared" si="166"/>
        <v>0</v>
      </c>
      <c r="K390" s="213">
        <f t="shared" si="166"/>
        <v>891657.33333333326</v>
      </c>
      <c r="L390" s="213">
        <f t="shared" ref="L390:Q390" si="167">SUM(L386:L389)</f>
        <v>868710</v>
      </c>
      <c r="M390" s="213">
        <f t="shared" si="167"/>
        <v>620507.14285714284</v>
      </c>
      <c r="N390" s="212">
        <f t="shared" si="167"/>
        <v>890538</v>
      </c>
      <c r="O390" s="212">
        <f t="shared" si="167"/>
        <v>1474900</v>
      </c>
      <c r="P390" s="212">
        <f t="shared" si="167"/>
        <v>1489217.142857143</v>
      </c>
      <c r="Q390" s="212">
        <f t="shared" si="167"/>
        <v>1530255</v>
      </c>
      <c r="R390" s="212">
        <f t="shared" ref="R390:AC390" si="168">SUM(R386:R389)</f>
        <v>1137823.6200000001</v>
      </c>
      <c r="S390" s="212">
        <f t="shared" si="168"/>
        <v>2275647.2400000002</v>
      </c>
      <c r="T390" s="212">
        <f t="shared" si="168"/>
        <v>2275647.2400000002</v>
      </c>
      <c r="U390" s="212">
        <f t="shared" si="168"/>
        <v>1712685</v>
      </c>
      <c r="V390" s="212">
        <f t="shared" si="168"/>
        <v>2055222</v>
      </c>
      <c r="W390" s="212">
        <f t="shared" si="168"/>
        <v>2100000</v>
      </c>
      <c r="X390" s="212">
        <f t="shared" si="168"/>
        <v>1211030</v>
      </c>
      <c r="Y390" s="212">
        <f t="shared" si="168"/>
        <v>1452600.4</v>
      </c>
      <c r="Z390" s="212">
        <f t="shared" si="168"/>
        <v>1454600.4</v>
      </c>
      <c r="AA390" s="211">
        <f t="shared" si="168"/>
        <v>728000</v>
      </c>
      <c r="AB390" s="211">
        <f t="shared" si="168"/>
        <v>1050000</v>
      </c>
      <c r="AC390" s="212">
        <f t="shared" si="168"/>
        <v>0.42</v>
      </c>
      <c r="AD390" s="88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</row>
    <row r="391" spans="1:256" ht="30" customHeight="1" x14ac:dyDescent="0.25">
      <c r="A391" s="249">
        <v>843800.78</v>
      </c>
      <c r="B391" s="281" t="s">
        <v>250</v>
      </c>
      <c r="C391" s="194">
        <v>200000</v>
      </c>
      <c r="D391" s="187"/>
      <c r="E391" s="202">
        <v>154449</v>
      </c>
      <c r="F391" s="194">
        <v>172000</v>
      </c>
      <c r="G391" s="188">
        <v>112000</v>
      </c>
      <c r="H391" s="195">
        <v>83715</v>
      </c>
      <c r="I391" s="188">
        <v>25209</v>
      </c>
      <c r="J391" s="189"/>
      <c r="K391" s="189">
        <f t="shared" si="143"/>
        <v>33612</v>
      </c>
      <c r="L391" s="189">
        <v>43533</v>
      </c>
      <c r="M391" s="189">
        <f t="shared" ref="M391:M397" si="169">L391/7*5</f>
        <v>31095</v>
      </c>
      <c r="N391" s="188">
        <v>50000</v>
      </c>
      <c r="O391" s="188">
        <v>50000</v>
      </c>
      <c r="P391" s="188">
        <f>L391+M391</f>
        <v>74628</v>
      </c>
      <c r="Q391" s="188">
        <f t="shared" si="160"/>
        <v>50000</v>
      </c>
      <c r="R391" s="188">
        <v>18877</v>
      </c>
      <c r="S391" s="188">
        <f>R391*2</f>
        <v>37754</v>
      </c>
      <c r="T391" s="188">
        <f>Q391</f>
        <v>50000</v>
      </c>
      <c r="U391" s="188">
        <v>34676</v>
      </c>
      <c r="V391" s="190">
        <f t="shared" si="159"/>
        <v>41611.199999999997</v>
      </c>
      <c r="W391" s="188"/>
      <c r="X391" s="188">
        <v>700</v>
      </c>
      <c r="Y391" s="188">
        <v>1000</v>
      </c>
      <c r="Z391" s="188">
        <f t="shared" si="165"/>
        <v>1000</v>
      </c>
      <c r="AA391" s="198"/>
      <c r="AB391" s="198"/>
      <c r="AC391" s="196"/>
      <c r="AD391" s="88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</row>
    <row r="392" spans="1:256" ht="30" customHeight="1" x14ac:dyDescent="0.25">
      <c r="A392" s="245">
        <v>843800.84</v>
      </c>
      <c r="B392" s="175" t="s">
        <v>168</v>
      </c>
      <c r="C392" s="194">
        <v>1500000</v>
      </c>
      <c r="D392" s="187"/>
      <c r="E392" s="202">
        <v>1992578</v>
      </c>
      <c r="F392" s="194">
        <v>1995000</v>
      </c>
      <c r="G392" s="188">
        <v>2000000</v>
      </c>
      <c r="H392" s="195">
        <v>1624249</v>
      </c>
      <c r="I392" s="188">
        <v>1363307</v>
      </c>
      <c r="J392" s="189"/>
      <c r="K392" s="189">
        <f t="shared" si="143"/>
        <v>1817742.6666666667</v>
      </c>
      <c r="L392" s="189">
        <v>1377014</v>
      </c>
      <c r="M392" s="189">
        <f t="shared" si="169"/>
        <v>983581.42857142852</v>
      </c>
      <c r="N392" s="188">
        <v>2000000</v>
      </c>
      <c r="O392" s="188">
        <v>2034000</v>
      </c>
      <c r="P392" s="188">
        <f>L392+M392</f>
        <v>2360595.4285714286</v>
      </c>
      <c r="Q392" s="188">
        <v>2534000</v>
      </c>
      <c r="R392" s="188">
        <v>922328</v>
      </c>
      <c r="S392" s="188">
        <f>R392*2+400000</f>
        <v>2244656</v>
      </c>
      <c r="T392" s="188">
        <f>Q392-250000</f>
        <v>2284000</v>
      </c>
      <c r="U392" s="188">
        <v>1359501</v>
      </c>
      <c r="V392" s="190">
        <f t="shared" si="159"/>
        <v>1631401.2</v>
      </c>
      <c r="W392" s="188"/>
      <c r="X392" s="188">
        <v>1789391</v>
      </c>
      <c r="Y392" s="188">
        <v>2147000</v>
      </c>
      <c r="Z392" s="188">
        <f t="shared" si="165"/>
        <v>2147000</v>
      </c>
      <c r="AA392" s="198">
        <v>2040000</v>
      </c>
      <c r="AB392" s="198">
        <v>2040000</v>
      </c>
      <c r="AC392" s="196"/>
      <c r="AD392" s="88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</row>
    <row r="393" spans="1:256" ht="30" customHeight="1" x14ac:dyDescent="0.25">
      <c r="A393" s="245">
        <v>843801.78</v>
      </c>
      <c r="B393" s="175" t="s">
        <v>448</v>
      </c>
      <c r="C393" s="194"/>
      <c r="D393" s="187"/>
      <c r="E393" s="202"/>
      <c r="F393" s="194"/>
      <c r="G393" s="188">
        <v>71476</v>
      </c>
      <c r="H393" s="195"/>
      <c r="I393" s="188">
        <v>6999</v>
      </c>
      <c r="J393" s="189"/>
      <c r="K393" s="189">
        <f t="shared" si="143"/>
        <v>9332</v>
      </c>
      <c r="L393" s="189">
        <v>0</v>
      </c>
      <c r="M393" s="189">
        <f t="shared" si="169"/>
        <v>0</v>
      </c>
      <c r="N393" s="188">
        <v>10000</v>
      </c>
      <c r="O393" s="188">
        <v>5000</v>
      </c>
      <c r="P393" s="188">
        <f>L393+M393</f>
        <v>0</v>
      </c>
      <c r="Q393" s="188">
        <f t="shared" si="160"/>
        <v>5000</v>
      </c>
      <c r="R393" s="188">
        <v>1000</v>
      </c>
      <c r="S393" s="188">
        <f>R393*2</f>
        <v>2000</v>
      </c>
      <c r="T393" s="188">
        <f>Q393</f>
        <v>5000</v>
      </c>
      <c r="U393" s="188"/>
      <c r="V393" s="190">
        <f t="shared" si="159"/>
        <v>0</v>
      </c>
      <c r="W393" s="188"/>
      <c r="X393" s="188">
        <v>2221</v>
      </c>
      <c r="Y393" s="188">
        <v>3000</v>
      </c>
      <c r="Z393" s="188">
        <f t="shared" si="165"/>
        <v>3000</v>
      </c>
      <c r="AA393" s="198"/>
      <c r="AB393" s="198"/>
      <c r="AC393" s="196"/>
      <c r="AD393" s="88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</row>
    <row r="394" spans="1:256" ht="30" customHeight="1" x14ac:dyDescent="0.25">
      <c r="A394" s="246">
        <v>843900.11</v>
      </c>
      <c r="B394" s="175" t="s">
        <v>370</v>
      </c>
      <c r="C394" s="194">
        <v>720000</v>
      </c>
      <c r="D394" s="187"/>
      <c r="E394" s="202">
        <v>512664</v>
      </c>
      <c r="F394" s="194">
        <v>520000</v>
      </c>
      <c r="G394" s="188">
        <v>438490</v>
      </c>
      <c r="H394" s="195">
        <v>320842</v>
      </c>
      <c r="I394" s="188">
        <v>337481</v>
      </c>
      <c r="J394" s="189"/>
      <c r="K394" s="189">
        <f t="shared" si="143"/>
        <v>449974.66666666669</v>
      </c>
      <c r="L394" s="189">
        <v>279206</v>
      </c>
      <c r="M394" s="189">
        <f t="shared" si="169"/>
        <v>199432.85714285713</v>
      </c>
      <c r="N394" s="190">
        <v>430409</v>
      </c>
      <c r="O394" s="190">
        <v>455500</v>
      </c>
      <c r="P394" s="190">
        <f>M394+L394</f>
        <v>478638.85714285716</v>
      </c>
      <c r="Q394" s="190">
        <f>O394*1.045</f>
        <v>475997.49999999994</v>
      </c>
      <c r="R394" s="190">
        <f>254188*0.98</f>
        <v>249104.24</v>
      </c>
      <c r="S394" s="190">
        <f>R394*2</f>
        <v>498208.48</v>
      </c>
      <c r="T394" s="190">
        <f>S394</f>
        <v>498208.48</v>
      </c>
      <c r="U394" s="190">
        <v>395659</v>
      </c>
      <c r="V394" s="190">
        <f t="shared" si="159"/>
        <v>474790.8</v>
      </c>
      <c r="W394" s="190">
        <v>503190</v>
      </c>
      <c r="X394" s="190">
        <v>364009</v>
      </c>
      <c r="Y394" s="190">
        <v>436000</v>
      </c>
      <c r="Z394" s="190">
        <v>440000</v>
      </c>
      <c r="AA394" s="191">
        <v>481000</v>
      </c>
      <c r="AB394" s="191">
        <v>486000</v>
      </c>
      <c r="AC394" s="196">
        <v>3.4</v>
      </c>
      <c r="AD394" s="88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</row>
    <row r="395" spans="1:256" s="50" customFormat="1" ht="30" customHeight="1" x14ac:dyDescent="0.25">
      <c r="A395" s="249">
        <v>843900.75</v>
      </c>
      <c r="B395" s="281" t="s">
        <v>624</v>
      </c>
      <c r="C395" s="202"/>
      <c r="D395" s="203"/>
      <c r="E395" s="202"/>
      <c r="F395" s="202"/>
      <c r="G395" s="189"/>
      <c r="H395" s="204"/>
      <c r="I395" s="189"/>
      <c r="J395" s="189"/>
      <c r="K395" s="189"/>
      <c r="L395" s="189"/>
      <c r="M395" s="189"/>
      <c r="N395" s="189"/>
      <c r="O395" s="189"/>
      <c r="P395" s="189"/>
      <c r="Q395" s="189"/>
      <c r="R395" s="189"/>
      <c r="S395" s="189"/>
      <c r="T395" s="189"/>
      <c r="U395" s="189"/>
      <c r="V395" s="189"/>
      <c r="W395" s="189">
        <v>1300000</v>
      </c>
      <c r="X395" s="189">
        <v>595882</v>
      </c>
      <c r="Y395" s="188">
        <v>800000</v>
      </c>
      <c r="Z395" s="188">
        <f t="shared" si="165"/>
        <v>800000</v>
      </c>
      <c r="AA395" s="198">
        <v>1311000</v>
      </c>
      <c r="AB395" s="198">
        <v>1311000</v>
      </c>
      <c r="AC395" s="196"/>
      <c r="AD395" s="89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  <c r="AQ395" s="66"/>
      <c r="AR395" s="66"/>
      <c r="AS395" s="66"/>
      <c r="AT395" s="66"/>
      <c r="AU395" s="66"/>
      <c r="AV395" s="66"/>
      <c r="AW395" s="66"/>
      <c r="AX395" s="66"/>
      <c r="AY395" s="66"/>
      <c r="AZ395" s="66"/>
      <c r="BA395" s="66"/>
      <c r="BB395" s="66"/>
      <c r="BC395" s="66"/>
      <c r="BD395" s="66"/>
      <c r="BE395" s="66"/>
      <c r="BF395" s="66"/>
      <c r="BG395" s="66"/>
      <c r="BH395" s="66"/>
      <c r="BI395" s="66"/>
      <c r="BJ395" s="66"/>
      <c r="BK395" s="66"/>
      <c r="BL395" s="66"/>
      <c r="BM395" s="66"/>
      <c r="BN395" s="66"/>
      <c r="BO395" s="66"/>
      <c r="BP395" s="66"/>
      <c r="BQ395" s="66"/>
      <c r="BR395" s="66"/>
      <c r="BS395" s="66"/>
      <c r="BT395" s="66"/>
      <c r="BU395" s="66"/>
      <c r="BV395" s="66"/>
      <c r="BW395" s="66"/>
      <c r="BX395" s="66"/>
      <c r="BY395" s="66"/>
      <c r="BZ395" s="66"/>
      <c r="CA395" s="66"/>
      <c r="CB395" s="66"/>
      <c r="CC395" s="66"/>
      <c r="CD395" s="66"/>
      <c r="CE395" s="66"/>
      <c r="CF395" s="66"/>
      <c r="CG395" s="66"/>
      <c r="CH395" s="66"/>
      <c r="CI395" s="66"/>
      <c r="CJ395" s="66"/>
      <c r="CK395" s="66"/>
      <c r="CL395" s="66"/>
      <c r="CM395" s="66"/>
      <c r="CN395" s="66"/>
      <c r="CO395" s="66"/>
      <c r="CP395" s="66"/>
      <c r="CQ395" s="66"/>
      <c r="CR395" s="66"/>
      <c r="CS395" s="66"/>
      <c r="CT395" s="66"/>
      <c r="CU395" s="66"/>
      <c r="CV395" s="66"/>
      <c r="CW395" s="66"/>
      <c r="CX395" s="66"/>
      <c r="CY395" s="66"/>
      <c r="CZ395" s="66"/>
      <c r="DA395" s="66"/>
      <c r="DB395" s="66"/>
      <c r="DC395" s="66"/>
      <c r="DD395" s="66"/>
      <c r="DE395" s="66"/>
      <c r="DF395" s="66"/>
      <c r="DG395" s="66"/>
      <c r="DH395" s="66"/>
      <c r="DI395" s="66"/>
      <c r="DJ395" s="66"/>
      <c r="DK395" s="66"/>
      <c r="DL395" s="66"/>
      <c r="DM395" s="66"/>
      <c r="DN395" s="66"/>
      <c r="DO395" s="66"/>
      <c r="DP395" s="66"/>
      <c r="DQ395" s="66"/>
      <c r="DR395" s="66"/>
      <c r="DS395" s="66"/>
      <c r="DT395" s="66"/>
      <c r="DU395" s="66"/>
      <c r="DV395" s="66"/>
      <c r="DW395" s="66"/>
      <c r="DX395" s="66"/>
      <c r="DY395" s="66"/>
      <c r="DZ395" s="66"/>
      <c r="EA395" s="66"/>
      <c r="EB395" s="66"/>
      <c r="EC395" s="66"/>
      <c r="ED395" s="66"/>
      <c r="EE395" s="66"/>
      <c r="EF395" s="66"/>
      <c r="EG395" s="66"/>
      <c r="EH395" s="66"/>
      <c r="EI395" s="66"/>
      <c r="EJ395" s="66"/>
      <c r="EK395" s="66"/>
      <c r="EL395" s="66"/>
      <c r="EM395" s="66"/>
      <c r="EN395" s="66"/>
      <c r="EO395" s="66"/>
      <c r="EP395" s="66"/>
      <c r="EQ395" s="66"/>
      <c r="ER395" s="66"/>
      <c r="ES395" s="66"/>
      <c r="ET395" s="66"/>
      <c r="EU395" s="66"/>
      <c r="EV395" s="66"/>
      <c r="EW395" s="66"/>
      <c r="EX395" s="66"/>
      <c r="EY395" s="66"/>
      <c r="EZ395" s="66"/>
      <c r="FA395" s="66"/>
      <c r="FB395" s="66"/>
      <c r="FC395" s="66"/>
      <c r="FD395" s="66"/>
      <c r="FE395" s="66"/>
      <c r="FF395" s="66"/>
      <c r="FG395" s="66"/>
      <c r="FH395" s="66"/>
      <c r="FI395" s="66"/>
      <c r="FJ395" s="66"/>
      <c r="FK395" s="66"/>
      <c r="FL395" s="66"/>
      <c r="FM395" s="66"/>
      <c r="FN395" s="66"/>
      <c r="FO395" s="66"/>
      <c r="FP395" s="66"/>
      <c r="FQ395" s="66"/>
      <c r="FR395" s="66"/>
      <c r="FS395" s="66"/>
      <c r="FT395" s="66"/>
      <c r="FU395" s="66"/>
      <c r="FV395" s="66"/>
      <c r="FW395" s="66"/>
      <c r="FX395" s="66"/>
      <c r="FY395" s="66"/>
      <c r="FZ395" s="66"/>
      <c r="GA395" s="66"/>
      <c r="GB395" s="66"/>
      <c r="GC395" s="66"/>
      <c r="GD395" s="66"/>
      <c r="GE395" s="66"/>
      <c r="GF395" s="66"/>
      <c r="GG395" s="66"/>
      <c r="GH395" s="66"/>
      <c r="GI395" s="66"/>
      <c r="GJ395" s="66"/>
      <c r="GK395" s="66"/>
      <c r="GL395" s="66"/>
      <c r="GM395" s="66"/>
      <c r="GN395" s="66"/>
      <c r="GO395" s="66"/>
      <c r="GP395" s="66"/>
      <c r="GQ395" s="66"/>
      <c r="GR395" s="66"/>
      <c r="GS395" s="66"/>
      <c r="GT395" s="66"/>
      <c r="GU395" s="66"/>
      <c r="GV395" s="66"/>
      <c r="GW395" s="66"/>
      <c r="GX395" s="66"/>
      <c r="GY395" s="66"/>
      <c r="GZ395" s="66"/>
      <c r="HA395" s="66"/>
      <c r="HB395" s="66"/>
      <c r="HC395" s="66"/>
      <c r="HD395" s="66"/>
      <c r="HE395" s="66"/>
      <c r="HF395" s="66"/>
      <c r="HG395" s="66"/>
      <c r="HH395" s="66"/>
      <c r="HI395" s="66"/>
      <c r="HJ395" s="66"/>
      <c r="HK395" s="66"/>
      <c r="HL395" s="66"/>
      <c r="HM395" s="66"/>
      <c r="HN395" s="66"/>
      <c r="HO395" s="66"/>
      <c r="HP395" s="66"/>
      <c r="HQ395" s="66"/>
      <c r="HR395" s="66"/>
      <c r="HS395" s="66"/>
      <c r="HT395" s="66"/>
      <c r="HU395" s="66"/>
      <c r="HV395" s="66"/>
      <c r="HW395" s="66"/>
      <c r="HX395" s="66"/>
      <c r="HY395" s="66"/>
      <c r="HZ395" s="66"/>
      <c r="IA395" s="66"/>
      <c r="IB395" s="66"/>
      <c r="IC395" s="66"/>
      <c r="ID395" s="66"/>
      <c r="IE395" s="66"/>
      <c r="IF395" s="66"/>
      <c r="IG395" s="66"/>
      <c r="IH395" s="66"/>
      <c r="II395" s="66"/>
      <c r="IJ395" s="66"/>
      <c r="IK395" s="66"/>
      <c r="IL395" s="66"/>
      <c r="IM395" s="66"/>
      <c r="IN395" s="66"/>
      <c r="IO395" s="66"/>
      <c r="IP395" s="66"/>
      <c r="IQ395" s="66"/>
      <c r="IR395" s="66"/>
      <c r="IS395" s="66"/>
      <c r="IT395" s="66"/>
      <c r="IU395" s="66"/>
      <c r="IV395" s="66"/>
    </row>
    <row r="396" spans="1:256" ht="30" customHeight="1" x14ac:dyDescent="0.25">
      <c r="A396" s="249">
        <v>843900.78</v>
      </c>
      <c r="B396" s="175" t="s">
        <v>471</v>
      </c>
      <c r="C396" s="194"/>
      <c r="D396" s="187"/>
      <c r="E396" s="202"/>
      <c r="F396" s="194"/>
      <c r="G396" s="188"/>
      <c r="H396" s="195"/>
      <c r="I396" s="188"/>
      <c r="J396" s="189"/>
      <c r="K396" s="189"/>
      <c r="L396" s="189">
        <v>2784</v>
      </c>
      <c r="M396" s="189">
        <f t="shared" si="169"/>
        <v>1988.5714285714287</v>
      </c>
      <c r="N396" s="188"/>
      <c r="O396" s="188">
        <v>3000</v>
      </c>
      <c r="P396" s="188">
        <f>L396+M396</f>
        <v>4772.5714285714284</v>
      </c>
      <c r="Q396" s="188">
        <f t="shared" si="160"/>
        <v>3000</v>
      </c>
      <c r="R396" s="188">
        <v>1000</v>
      </c>
      <c r="S396" s="188">
        <f>R396*2</f>
        <v>2000</v>
      </c>
      <c r="T396" s="188">
        <f>Q396</f>
        <v>3000</v>
      </c>
      <c r="U396" s="188"/>
      <c r="V396" s="190">
        <f t="shared" si="159"/>
        <v>0</v>
      </c>
      <c r="W396" s="188"/>
      <c r="X396" s="188">
        <v>2221</v>
      </c>
      <c r="Y396" s="188">
        <v>3000</v>
      </c>
      <c r="Z396" s="188">
        <f t="shared" si="165"/>
        <v>3000</v>
      </c>
      <c r="AA396" s="198"/>
      <c r="AB396" s="198"/>
      <c r="AC396" s="196"/>
      <c r="AD396" s="88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</row>
    <row r="397" spans="1:256" ht="30" customHeight="1" x14ac:dyDescent="0.25">
      <c r="A397" s="245">
        <v>843900.84</v>
      </c>
      <c r="B397" s="175" t="s">
        <v>385</v>
      </c>
      <c r="C397" s="194">
        <v>570000</v>
      </c>
      <c r="D397" s="187"/>
      <c r="E397" s="202">
        <v>469019</v>
      </c>
      <c r="F397" s="194">
        <v>490000</v>
      </c>
      <c r="G397" s="189">
        <f>643000-43000</f>
        <v>600000</v>
      </c>
      <c r="H397" s="195">
        <v>482230</v>
      </c>
      <c r="I397" s="188">
        <v>664715</v>
      </c>
      <c r="J397" s="189"/>
      <c r="K397" s="189">
        <f t="shared" si="143"/>
        <v>886286.66666666663</v>
      </c>
      <c r="L397" s="189">
        <v>863910</v>
      </c>
      <c r="M397" s="189">
        <f t="shared" si="169"/>
        <v>617078.57142857148</v>
      </c>
      <c r="N397" s="189">
        <v>886000</v>
      </c>
      <c r="O397" s="188">
        <v>1408800</v>
      </c>
      <c r="P397" s="188">
        <f>L397+M397</f>
        <v>1480988.5714285714</v>
      </c>
      <c r="Q397" s="188">
        <f t="shared" si="160"/>
        <v>1408800</v>
      </c>
      <c r="R397" s="188">
        <v>727900</v>
      </c>
      <c r="S397" s="188">
        <f>R397*2</f>
        <v>1455800</v>
      </c>
      <c r="T397" s="188">
        <v>1455800</v>
      </c>
      <c r="U397" s="188">
        <v>1118824</v>
      </c>
      <c r="V397" s="190">
        <f t="shared" si="159"/>
        <v>1342588.8</v>
      </c>
      <c r="W397" s="188">
        <v>1455800</v>
      </c>
      <c r="X397" s="188">
        <v>1355851</v>
      </c>
      <c r="Y397" s="188">
        <v>1627000</v>
      </c>
      <c r="Z397" s="188">
        <f t="shared" si="165"/>
        <v>1627000</v>
      </c>
      <c r="AA397" s="198">
        <v>1433000</v>
      </c>
      <c r="AB397" s="198">
        <v>1433000</v>
      </c>
      <c r="AC397" s="196"/>
      <c r="AD397" s="88" t="s">
        <v>699</v>
      </c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</row>
    <row r="398" spans="1:256" ht="30" customHeight="1" x14ac:dyDescent="0.25">
      <c r="A398" s="222"/>
      <c r="B398" s="275" t="s">
        <v>169</v>
      </c>
      <c r="C398" s="211">
        <f t="shared" ref="C398:S398" si="170">SUM(C391:C397)</f>
        <v>2990000</v>
      </c>
      <c r="D398" s="211">
        <f t="shared" si="170"/>
        <v>0</v>
      </c>
      <c r="E398" s="211">
        <f t="shared" si="170"/>
        <v>3128710</v>
      </c>
      <c r="F398" s="211">
        <f t="shared" si="170"/>
        <v>3177000</v>
      </c>
      <c r="G398" s="212">
        <f t="shared" si="170"/>
        <v>3221966</v>
      </c>
      <c r="H398" s="212">
        <f t="shared" si="170"/>
        <v>2511036</v>
      </c>
      <c r="I398" s="212">
        <f t="shared" si="170"/>
        <v>2397711</v>
      </c>
      <c r="J398" s="213">
        <f t="shared" si="170"/>
        <v>0</v>
      </c>
      <c r="K398" s="213">
        <f t="shared" si="170"/>
        <v>3196948</v>
      </c>
      <c r="L398" s="213">
        <f t="shared" si="170"/>
        <v>2566447</v>
      </c>
      <c r="M398" s="213">
        <f t="shared" si="170"/>
        <v>1833176.4285714286</v>
      </c>
      <c r="N398" s="212">
        <f>SUM(N391:N397)</f>
        <v>3376409</v>
      </c>
      <c r="O398" s="212">
        <f t="shared" si="170"/>
        <v>3956300</v>
      </c>
      <c r="P398" s="212">
        <f>SUM(P391:P397)</f>
        <v>4399623.4285714291</v>
      </c>
      <c r="Q398" s="212">
        <f t="shared" si="170"/>
        <v>4476797.5</v>
      </c>
      <c r="R398" s="212">
        <f t="shared" si="170"/>
        <v>1920209.24</v>
      </c>
      <c r="S398" s="212">
        <f t="shared" si="170"/>
        <v>4240418.4800000004</v>
      </c>
      <c r="T398" s="212">
        <f t="shared" ref="T398:Z398" si="171">SUM(T391:T397)</f>
        <v>4296008.4800000004</v>
      </c>
      <c r="U398" s="212">
        <f t="shared" si="171"/>
        <v>2908660</v>
      </c>
      <c r="V398" s="212">
        <f t="shared" si="171"/>
        <v>3490392</v>
      </c>
      <c r="W398" s="212">
        <f t="shared" si="171"/>
        <v>3258990</v>
      </c>
      <c r="X398" s="212">
        <f t="shared" si="171"/>
        <v>4110275</v>
      </c>
      <c r="Y398" s="212">
        <f t="shared" si="171"/>
        <v>5017000</v>
      </c>
      <c r="Z398" s="212">
        <f t="shared" si="171"/>
        <v>5021000</v>
      </c>
      <c r="AA398" s="211">
        <f>SUM(AA391:AA397)</f>
        <v>5265000</v>
      </c>
      <c r="AB398" s="211">
        <f>SUM(AB391:AB397)</f>
        <v>5270000</v>
      </c>
      <c r="AC398" s="212">
        <f>SUM(AC391:AC397)</f>
        <v>3.4</v>
      </c>
      <c r="AD398" s="88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</row>
    <row r="399" spans="1:256" ht="30" customHeight="1" x14ac:dyDescent="0.25">
      <c r="A399" s="222"/>
      <c r="B399" s="275" t="s">
        <v>170</v>
      </c>
      <c r="C399" s="211">
        <f t="shared" ref="C399:S399" si="172">C398+C390</f>
        <v>3532000</v>
      </c>
      <c r="D399" s="211">
        <f t="shared" si="172"/>
        <v>0</v>
      </c>
      <c r="E399" s="211">
        <f t="shared" si="172"/>
        <v>4031995</v>
      </c>
      <c r="F399" s="211">
        <f t="shared" si="172"/>
        <v>4056000</v>
      </c>
      <c r="G399" s="212">
        <f t="shared" si="172"/>
        <v>4260741</v>
      </c>
      <c r="H399" s="212">
        <f t="shared" si="172"/>
        <v>3337442</v>
      </c>
      <c r="I399" s="212">
        <f t="shared" si="172"/>
        <v>3066454</v>
      </c>
      <c r="J399" s="213">
        <f t="shared" si="172"/>
        <v>0</v>
      </c>
      <c r="K399" s="213">
        <f t="shared" si="172"/>
        <v>4088605.333333333</v>
      </c>
      <c r="L399" s="213">
        <f t="shared" si="172"/>
        <v>3435157</v>
      </c>
      <c r="M399" s="213">
        <f t="shared" si="172"/>
        <v>2453683.5714285714</v>
      </c>
      <c r="N399" s="212">
        <f>N398+N390</f>
        <v>4266947</v>
      </c>
      <c r="O399" s="212">
        <f t="shared" si="172"/>
        <v>5431200</v>
      </c>
      <c r="P399" s="212">
        <f>P398+P390</f>
        <v>5888840.5714285718</v>
      </c>
      <c r="Q399" s="212">
        <f t="shared" si="172"/>
        <v>6007052.5</v>
      </c>
      <c r="R399" s="212">
        <f t="shared" si="172"/>
        <v>3058032.8600000003</v>
      </c>
      <c r="S399" s="212">
        <f t="shared" si="172"/>
        <v>6516065.7200000007</v>
      </c>
      <c r="T399" s="212">
        <f t="shared" ref="T399:Z399" si="173">T398+T390</f>
        <v>6571655.7200000007</v>
      </c>
      <c r="U399" s="212">
        <f t="shared" si="173"/>
        <v>4621345</v>
      </c>
      <c r="V399" s="212">
        <f t="shared" si="173"/>
        <v>5545614</v>
      </c>
      <c r="W399" s="212">
        <f t="shared" si="173"/>
        <v>5358990</v>
      </c>
      <c r="X399" s="212">
        <f t="shared" si="173"/>
        <v>5321305</v>
      </c>
      <c r="Y399" s="212">
        <f t="shared" si="173"/>
        <v>6469600.4000000004</v>
      </c>
      <c r="Z399" s="212">
        <f t="shared" si="173"/>
        <v>6475600.4000000004</v>
      </c>
      <c r="AA399" s="211">
        <f>AA398+AA390</f>
        <v>5993000</v>
      </c>
      <c r="AB399" s="211">
        <f>AB398+AB390</f>
        <v>6320000</v>
      </c>
      <c r="AC399" s="212">
        <f>AC398+AC390</f>
        <v>3.82</v>
      </c>
      <c r="AD399" s="88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</row>
    <row r="400" spans="1:256" s="50" customFormat="1" ht="30" customHeight="1" x14ac:dyDescent="0.25">
      <c r="A400" s="243"/>
      <c r="B400" s="279"/>
      <c r="C400" s="223"/>
      <c r="D400" s="224"/>
      <c r="E400" s="223"/>
      <c r="F400" s="223"/>
      <c r="G400" s="217"/>
      <c r="H400" s="213"/>
      <c r="I400" s="217"/>
      <c r="J400" s="217"/>
      <c r="K400" s="217"/>
      <c r="L400" s="217"/>
      <c r="M400" s="217"/>
      <c r="N400" s="217"/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44"/>
      <c r="AB400" s="244"/>
      <c r="AC400" s="213"/>
      <c r="AD400" s="89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  <c r="AQ400" s="66"/>
      <c r="AR400" s="66"/>
      <c r="AS400" s="66"/>
      <c r="AT400" s="66"/>
      <c r="AU400" s="66"/>
      <c r="AV400" s="66"/>
      <c r="AW400" s="66"/>
      <c r="AX400" s="66"/>
      <c r="AY400" s="66"/>
      <c r="AZ400" s="66"/>
      <c r="BA400" s="66"/>
      <c r="BB400" s="66"/>
      <c r="BC400" s="66"/>
      <c r="BD400" s="66"/>
      <c r="BE400" s="66"/>
      <c r="BF400" s="66"/>
      <c r="BG400" s="66"/>
      <c r="BH400" s="66"/>
      <c r="BI400" s="66"/>
      <c r="BJ400" s="66"/>
      <c r="BK400" s="66"/>
      <c r="BL400" s="66"/>
      <c r="BM400" s="66"/>
      <c r="BN400" s="66"/>
      <c r="BO400" s="66"/>
      <c r="BP400" s="66"/>
      <c r="BQ400" s="66"/>
      <c r="BR400" s="66"/>
      <c r="BS400" s="66"/>
      <c r="BT400" s="66"/>
      <c r="BU400" s="66"/>
      <c r="BV400" s="66"/>
      <c r="BW400" s="66"/>
      <c r="BX400" s="66"/>
      <c r="BY400" s="66"/>
      <c r="BZ400" s="66"/>
      <c r="CA400" s="66"/>
      <c r="CB400" s="66"/>
      <c r="CC400" s="66"/>
      <c r="CD400" s="66"/>
      <c r="CE400" s="66"/>
      <c r="CF400" s="66"/>
      <c r="CG400" s="66"/>
      <c r="CH400" s="66"/>
      <c r="CI400" s="66"/>
      <c r="CJ400" s="66"/>
      <c r="CK400" s="66"/>
      <c r="CL400" s="66"/>
      <c r="CM400" s="66"/>
      <c r="CN400" s="66"/>
      <c r="CO400" s="66"/>
      <c r="CP400" s="66"/>
      <c r="CQ400" s="66"/>
      <c r="CR400" s="66"/>
      <c r="CS400" s="66"/>
      <c r="CT400" s="66"/>
      <c r="CU400" s="66"/>
      <c r="CV400" s="66"/>
      <c r="CW400" s="66"/>
      <c r="CX400" s="66"/>
      <c r="CY400" s="66"/>
      <c r="CZ400" s="66"/>
      <c r="DA400" s="66"/>
      <c r="DB400" s="66"/>
      <c r="DC400" s="66"/>
      <c r="DD400" s="66"/>
      <c r="DE400" s="66"/>
      <c r="DF400" s="66"/>
      <c r="DG400" s="66"/>
      <c r="DH400" s="66"/>
      <c r="DI400" s="66"/>
      <c r="DJ400" s="66"/>
      <c r="DK400" s="66"/>
      <c r="DL400" s="66"/>
      <c r="DM400" s="66"/>
      <c r="DN400" s="66"/>
      <c r="DO400" s="66"/>
      <c r="DP400" s="66"/>
      <c r="DQ400" s="66"/>
      <c r="DR400" s="66"/>
      <c r="DS400" s="66"/>
      <c r="DT400" s="66"/>
      <c r="DU400" s="66"/>
      <c r="DV400" s="66"/>
      <c r="DW400" s="66"/>
      <c r="DX400" s="66"/>
      <c r="DY400" s="66"/>
      <c r="DZ400" s="66"/>
      <c r="EA400" s="66"/>
      <c r="EB400" s="66"/>
      <c r="EC400" s="66"/>
      <c r="ED400" s="66"/>
      <c r="EE400" s="66"/>
      <c r="EF400" s="66"/>
      <c r="EG400" s="66"/>
      <c r="EH400" s="66"/>
      <c r="EI400" s="66"/>
      <c r="EJ400" s="66"/>
      <c r="EK400" s="66"/>
      <c r="EL400" s="66"/>
      <c r="EM400" s="66"/>
      <c r="EN400" s="66"/>
      <c r="EO400" s="66"/>
      <c r="EP400" s="66"/>
      <c r="EQ400" s="66"/>
      <c r="ER400" s="66"/>
      <c r="ES400" s="66"/>
      <c r="ET400" s="66"/>
      <c r="EU400" s="66"/>
      <c r="EV400" s="66"/>
      <c r="EW400" s="66"/>
      <c r="EX400" s="66"/>
      <c r="EY400" s="66"/>
      <c r="EZ400" s="66"/>
      <c r="FA400" s="66"/>
      <c r="FB400" s="66"/>
      <c r="FC400" s="66"/>
      <c r="FD400" s="66"/>
      <c r="FE400" s="66"/>
      <c r="FF400" s="66"/>
      <c r="FG400" s="66"/>
      <c r="FH400" s="66"/>
      <c r="FI400" s="66"/>
      <c r="FJ400" s="66"/>
      <c r="FK400" s="66"/>
      <c r="FL400" s="66"/>
      <c r="FM400" s="66"/>
      <c r="FN400" s="66"/>
      <c r="FO400" s="66"/>
      <c r="FP400" s="66"/>
      <c r="FQ400" s="66"/>
      <c r="FR400" s="66"/>
      <c r="FS400" s="66"/>
      <c r="FT400" s="66"/>
      <c r="FU400" s="66"/>
      <c r="FV400" s="66"/>
      <c r="FW400" s="66"/>
      <c r="FX400" s="66"/>
      <c r="FY400" s="66"/>
      <c r="FZ400" s="66"/>
      <c r="GA400" s="66"/>
      <c r="GB400" s="66"/>
      <c r="GC400" s="66"/>
      <c r="GD400" s="66"/>
      <c r="GE400" s="66"/>
      <c r="GF400" s="66"/>
      <c r="GG400" s="66"/>
      <c r="GH400" s="66"/>
      <c r="GI400" s="66"/>
      <c r="GJ400" s="66"/>
      <c r="GK400" s="66"/>
      <c r="GL400" s="66"/>
      <c r="GM400" s="66"/>
      <c r="GN400" s="66"/>
      <c r="GO400" s="66"/>
      <c r="GP400" s="66"/>
      <c r="GQ400" s="66"/>
      <c r="GR400" s="66"/>
      <c r="GS400" s="66"/>
      <c r="GT400" s="66"/>
      <c r="GU400" s="66"/>
      <c r="GV400" s="66"/>
      <c r="GW400" s="66"/>
      <c r="GX400" s="66"/>
      <c r="GY400" s="66"/>
      <c r="GZ400" s="66"/>
      <c r="HA400" s="66"/>
      <c r="HB400" s="66"/>
      <c r="HC400" s="66"/>
      <c r="HD400" s="66"/>
      <c r="HE400" s="66"/>
      <c r="HF400" s="66"/>
      <c r="HG400" s="66"/>
      <c r="HH400" s="66"/>
      <c r="HI400" s="66"/>
      <c r="HJ400" s="66"/>
      <c r="HK400" s="66"/>
      <c r="HL400" s="66"/>
      <c r="HM400" s="66"/>
      <c r="HN400" s="66"/>
      <c r="HO400" s="66"/>
      <c r="HP400" s="66"/>
      <c r="HQ400" s="66"/>
      <c r="HR400" s="66"/>
      <c r="HS400" s="66"/>
      <c r="HT400" s="66"/>
      <c r="HU400" s="66"/>
      <c r="HV400" s="66"/>
      <c r="HW400" s="66"/>
      <c r="HX400" s="66"/>
      <c r="HY400" s="66"/>
      <c r="HZ400" s="66"/>
      <c r="IA400" s="66"/>
      <c r="IB400" s="66"/>
      <c r="IC400" s="66"/>
      <c r="ID400" s="66"/>
      <c r="IE400" s="66"/>
      <c r="IF400" s="66"/>
      <c r="IG400" s="66"/>
      <c r="IH400" s="66"/>
      <c r="II400" s="66"/>
      <c r="IJ400" s="66"/>
      <c r="IK400" s="66"/>
      <c r="IL400" s="66"/>
      <c r="IM400" s="66"/>
      <c r="IN400" s="66"/>
      <c r="IO400" s="66"/>
      <c r="IP400" s="66"/>
      <c r="IQ400" s="66"/>
      <c r="IR400" s="66"/>
      <c r="IS400" s="66"/>
      <c r="IT400" s="66"/>
      <c r="IU400" s="66"/>
      <c r="IV400" s="66"/>
    </row>
    <row r="401" spans="1:256" ht="30" customHeight="1" x14ac:dyDescent="0.25">
      <c r="A401" s="193">
        <v>844544.11</v>
      </c>
      <c r="B401" s="233" t="s">
        <v>710</v>
      </c>
      <c r="C401" s="202">
        <v>0</v>
      </c>
      <c r="D401" s="203"/>
      <c r="E401" s="202">
        <v>0</v>
      </c>
      <c r="F401" s="202">
        <f>250000</f>
        <v>250000</v>
      </c>
      <c r="G401" s="204">
        <v>200000</v>
      </c>
      <c r="H401" s="204">
        <v>31197</v>
      </c>
      <c r="I401" s="188">
        <v>111415</v>
      </c>
      <c r="J401" s="189"/>
      <c r="K401" s="189">
        <f>I401*4/3</f>
        <v>148553.33333333334</v>
      </c>
      <c r="L401" s="189">
        <v>7111</v>
      </c>
      <c r="M401" s="189">
        <v>0</v>
      </c>
      <c r="N401" s="250">
        <v>148533</v>
      </c>
      <c r="O401" s="250">
        <v>7100</v>
      </c>
      <c r="P401" s="190">
        <f>M401+L401</f>
        <v>7111</v>
      </c>
      <c r="Q401" s="190">
        <v>0</v>
      </c>
      <c r="R401" s="190">
        <v>0</v>
      </c>
      <c r="S401" s="190">
        <v>7111</v>
      </c>
      <c r="T401" s="190">
        <f>S401</f>
        <v>7111</v>
      </c>
      <c r="U401" s="190"/>
      <c r="V401" s="190">
        <f>U401*12/10</f>
        <v>0</v>
      </c>
      <c r="W401" s="190"/>
      <c r="X401" s="190"/>
      <c r="Y401" s="190"/>
      <c r="Z401" s="190"/>
      <c r="AA401" s="191">
        <v>650000</v>
      </c>
      <c r="AB401" s="191">
        <v>829000</v>
      </c>
      <c r="AC401" s="196">
        <v>7.9</v>
      </c>
      <c r="AD401" s="88" t="s">
        <v>699</v>
      </c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</row>
    <row r="402" spans="1:256" ht="30" customHeight="1" x14ac:dyDescent="0.25">
      <c r="A402" s="249">
        <v>844400.54</v>
      </c>
      <c r="B402" s="175" t="s">
        <v>472</v>
      </c>
      <c r="C402" s="194"/>
      <c r="D402" s="187"/>
      <c r="E402" s="202"/>
      <c r="F402" s="194"/>
      <c r="G402" s="188"/>
      <c r="H402" s="195"/>
      <c r="I402" s="188"/>
      <c r="J402" s="189"/>
      <c r="K402" s="189"/>
      <c r="L402" s="189">
        <v>443</v>
      </c>
      <c r="M402" s="189">
        <f>L402/7*5</f>
        <v>316.42857142857144</v>
      </c>
      <c r="N402" s="188"/>
      <c r="O402" s="188">
        <v>1000</v>
      </c>
      <c r="P402" s="188">
        <f>L402+M402</f>
        <v>759.42857142857144</v>
      </c>
      <c r="Q402" s="188">
        <f t="shared" si="160"/>
        <v>1000</v>
      </c>
      <c r="R402" s="188">
        <v>0</v>
      </c>
      <c r="S402" s="188">
        <f>R402*2</f>
        <v>0</v>
      </c>
      <c r="T402" s="188">
        <f>Q402</f>
        <v>1000</v>
      </c>
      <c r="U402" s="188">
        <v>3895</v>
      </c>
      <c r="V402" s="190">
        <f t="shared" si="159"/>
        <v>4674</v>
      </c>
      <c r="W402" s="188">
        <v>15000</v>
      </c>
      <c r="X402" s="188">
        <v>12418</v>
      </c>
      <c r="Y402" s="188">
        <v>14000</v>
      </c>
      <c r="Z402" s="188">
        <f>Y402</f>
        <v>14000</v>
      </c>
      <c r="AA402" s="198"/>
      <c r="AB402" s="198"/>
      <c r="AC402" s="196"/>
      <c r="AD402" s="88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</row>
    <row r="403" spans="1:256" ht="30" customHeight="1" x14ac:dyDescent="0.25">
      <c r="A403" s="229">
        <v>844400.78</v>
      </c>
      <c r="B403" s="175" t="s">
        <v>171</v>
      </c>
      <c r="C403" s="194">
        <v>130000</v>
      </c>
      <c r="D403" s="187"/>
      <c r="E403" s="202">
        <v>269769</v>
      </c>
      <c r="F403" s="194">
        <v>250000</v>
      </c>
      <c r="G403" s="188">
        <v>110000</v>
      </c>
      <c r="H403" s="195">
        <f>104049-7161*2</f>
        <v>89727</v>
      </c>
      <c r="I403" s="188">
        <v>132022</v>
      </c>
      <c r="J403" s="189"/>
      <c r="K403" s="189">
        <f t="shared" si="143"/>
        <v>176029.33333333334</v>
      </c>
      <c r="L403" s="189">
        <v>61890</v>
      </c>
      <c r="M403" s="189">
        <f>L403/7*5</f>
        <v>44207.142857142855</v>
      </c>
      <c r="N403" s="188">
        <v>100000</v>
      </c>
      <c r="O403" s="188">
        <v>100000</v>
      </c>
      <c r="P403" s="188">
        <f>L403+M403</f>
        <v>106097.14285714286</v>
      </c>
      <c r="Q403" s="188">
        <f t="shared" si="160"/>
        <v>100000</v>
      </c>
      <c r="R403" s="188">
        <v>4000</v>
      </c>
      <c r="S403" s="188">
        <f>R403*2</f>
        <v>8000</v>
      </c>
      <c r="T403" s="188">
        <v>25000</v>
      </c>
      <c r="U403" s="188">
        <v>4000</v>
      </c>
      <c r="V403" s="190">
        <f t="shared" si="159"/>
        <v>4800</v>
      </c>
      <c r="W403" s="188">
        <v>25000</v>
      </c>
      <c r="X403" s="188">
        <v>23051</v>
      </c>
      <c r="Y403" s="188">
        <v>27000</v>
      </c>
      <c r="Z403" s="188">
        <f>Y403</f>
        <v>27000</v>
      </c>
      <c r="AA403" s="198">
        <v>50000</v>
      </c>
      <c r="AB403" s="198">
        <v>50000</v>
      </c>
      <c r="AC403" s="196"/>
      <c r="AD403" s="88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</row>
    <row r="404" spans="1:256" ht="30" customHeight="1" x14ac:dyDescent="0.25">
      <c r="A404" s="229">
        <v>844400.84</v>
      </c>
      <c r="B404" s="175" t="s">
        <v>172</v>
      </c>
      <c r="C404" s="194">
        <v>210000</v>
      </c>
      <c r="D404" s="187"/>
      <c r="E404" s="202">
        <v>116637</v>
      </c>
      <c r="F404" s="194">
        <v>122000</v>
      </c>
      <c r="G404" s="188">
        <v>125000</v>
      </c>
      <c r="H404" s="195">
        <v>177064</v>
      </c>
      <c r="I404" s="188">
        <v>173438</v>
      </c>
      <c r="J404" s="189"/>
      <c r="K404" s="189">
        <f t="shared" ref="K404:K462" si="174">I404*4/3</f>
        <v>231250.66666666666</v>
      </c>
      <c r="L404" s="189">
        <v>82742</v>
      </c>
      <c r="M404" s="189">
        <f>L404/7*5</f>
        <v>59101.428571428565</v>
      </c>
      <c r="N404" s="188">
        <v>126000</v>
      </c>
      <c r="O404" s="188">
        <v>157600</v>
      </c>
      <c r="P404" s="188">
        <f>L404+M404</f>
        <v>141843.42857142858</v>
      </c>
      <c r="Q404" s="188">
        <f t="shared" si="160"/>
        <v>157600</v>
      </c>
      <c r="R404" s="188">
        <v>53464</v>
      </c>
      <c r="S404" s="188">
        <f>R404*2+50000</f>
        <v>156928</v>
      </c>
      <c r="T404" s="188">
        <f>Q404</f>
        <v>157600</v>
      </c>
      <c r="U404" s="188">
        <v>98345</v>
      </c>
      <c r="V404" s="190">
        <f t="shared" si="159"/>
        <v>118014</v>
      </c>
      <c r="W404" s="188">
        <v>265000</v>
      </c>
      <c r="X404" s="188">
        <v>276669</v>
      </c>
      <c r="Y404" s="188">
        <v>332000</v>
      </c>
      <c r="Z404" s="188">
        <f>Y404</f>
        <v>332000</v>
      </c>
      <c r="AA404" s="198">
        <v>154000</v>
      </c>
      <c r="AB404" s="198">
        <v>154000</v>
      </c>
      <c r="AC404" s="196"/>
      <c r="AD404" s="88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</row>
    <row r="405" spans="1:256" ht="30" customHeight="1" x14ac:dyDescent="0.25">
      <c r="A405" s="214">
        <v>844500.84</v>
      </c>
      <c r="B405" s="175" t="s">
        <v>521</v>
      </c>
      <c r="C405" s="202">
        <v>50000</v>
      </c>
      <c r="D405" s="187"/>
      <c r="E405" s="202">
        <v>525711</v>
      </c>
      <c r="F405" s="202">
        <v>575000</v>
      </c>
      <c r="G405" s="188">
        <v>308000</v>
      </c>
      <c r="H405" s="204">
        <v>306142</v>
      </c>
      <c r="I405" s="188">
        <v>225626</v>
      </c>
      <c r="J405" s="189"/>
      <c r="K405" s="189">
        <f t="shared" si="174"/>
        <v>300834.66666666669</v>
      </c>
      <c r="L405" s="189">
        <v>381157</v>
      </c>
      <c r="M405" s="189">
        <v>222255</v>
      </c>
      <c r="N405" s="188">
        <v>300835</v>
      </c>
      <c r="O405" s="188">
        <v>619500</v>
      </c>
      <c r="P405" s="188">
        <f>L405+M405</f>
        <v>603412</v>
      </c>
      <c r="Q405" s="188">
        <f t="shared" si="160"/>
        <v>619500</v>
      </c>
      <c r="R405" s="188">
        <f>422360-52000</f>
        <v>370360</v>
      </c>
      <c r="S405" s="188">
        <f>R405*2</f>
        <v>740720</v>
      </c>
      <c r="T405" s="188">
        <v>740720</v>
      </c>
      <c r="U405" s="188">
        <v>453734</v>
      </c>
      <c r="V405" s="190">
        <f t="shared" si="159"/>
        <v>544480.80000000005</v>
      </c>
      <c r="W405" s="188">
        <v>740000</v>
      </c>
      <c r="X405" s="188">
        <v>534131</v>
      </c>
      <c r="Y405" s="188">
        <v>640000</v>
      </c>
      <c r="Z405" s="188">
        <f>Y405</f>
        <v>640000</v>
      </c>
      <c r="AA405" s="198">
        <v>564000</v>
      </c>
      <c r="AB405" s="198">
        <v>564000</v>
      </c>
      <c r="AC405" s="196"/>
      <c r="AD405" s="88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</row>
    <row r="406" spans="1:256" s="50" customFormat="1" ht="30" customHeight="1" x14ac:dyDescent="0.25">
      <c r="A406" s="197">
        <v>844544.11</v>
      </c>
      <c r="B406" s="281" t="s">
        <v>706</v>
      </c>
      <c r="C406" s="202"/>
      <c r="D406" s="203"/>
      <c r="E406" s="202"/>
      <c r="F406" s="202"/>
      <c r="G406" s="189"/>
      <c r="H406" s="204"/>
      <c r="I406" s="189"/>
      <c r="J406" s="189"/>
      <c r="K406" s="189"/>
      <c r="L406" s="189"/>
      <c r="M406" s="189"/>
      <c r="N406" s="189"/>
      <c r="O406" s="189"/>
      <c r="P406" s="189"/>
      <c r="Q406" s="189"/>
      <c r="R406" s="189"/>
      <c r="S406" s="189"/>
      <c r="T406" s="189"/>
      <c r="U406" s="189"/>
      <c r="V406" s="189"/>
      <c r="W406" s="189"/>
      <c r="X406" s="189"/>
      <c r="Y406" s="189"/>
      <c r="Z406" s="189"/>
      <c r="AA406" s="205"/>
      <c r="AB406" s="205">
        <v>120000</v>
      </c>
      <c r="AC406" s="196">
        <v>1</v>
      </c>
      <c r="AD406" s="89"/>
      <c r="AE406" s="66">
        <v>7</v>
      </c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  <c r="AQ406" s="66"/>
      <c r="AR406" s="66"/>
      <c r="AS406" s="66"/>
      <c r="AT406" s="66"/>
      <c r="AU406" s="66"/>
      <c r="AV406" s="66"/>
      <c r="AW406" s="66"/>
      <c r="AX406" s="66"/>
      <c r="AY406" s="66"/>
      <c r="AZ406" s="66"/>
      <c r="BA406" s="66"/>
      <c r="BB406" s="66"/>
      <c r="BC406" s="66"/>
      <c r="BD406" s="66"/>
      <c r="BE406" s="66"/>
      <c r="BF406" s="66"/>
      <c r="BG406" s="66"/>
      <c r="BH406" s="66"/>
      <c r="BI406" s="66"/>
      <c r="BJ406" s="66"/>
      <c r="BK406" s="66"/>
      <c r="BL406" s="66"/>
      <c r="BM406" s="66"/>
      <c r="BN406" s="66"/>
      <c r="BO406" s="66"/>
      <c r="BP406" s="66"/>
      <c r="BQ406" s="66"/>
      <c r="BR406" s="66"/>
      <c r="BS406" s="66"/>
      <c r="BT406" s="66"/>
      <c r="BU406" s="66"/>
      <c r="BV406" s="66"/>
      <c r="BW406" s="66"/>
      <c r="BX406" s="66"/>
      <c r="BY406" s="66"/>
      <c r="BZ406" s="66"/>
      <c r="CA406" s="66"/>
      <c r="CB406" s="66"/>
      <c r="CC406" s="66"/>
      <c r="CD406" s="66"/>
      <c r="CE406" s="66"/>
      <c r="CF406" s="66"/>
      <c r="CG406" s="66"/>
      <c r="CH406" s="66"/>
      <c r="CI406" s="66"/>
      <c r="CJ406" s="66"/>
      <c r="CK406" s="66"/>
      <c r="CL406" s="66"/>
      <c r="CM406" s="66"/>
      <c r="CN406" s="66"/>
      <c r="CO406" s="66"/>
      <c r="CP406" s="66"/>
      <c r="CQ406" s="66"/>
      <c r="CR406" s="66"/>
      <c r="CS406" s="66"/>
      <c r="CT406" s="66"/>
      <c r="CU406" s="66"/>
      <c r="CV406" s="66"/>
      <c r="CW406" s="66"/>
      <c r="CX406" s="66"/>
      <c r="CY406" s="66"/>
      <c r="CZ406" s="66"/>
      <c r="DA406" s="66"/>
      <c r="DB406" s="66"/>
      <c r="DC406" s="66"/>
      <c r="DD406" s="66"/>
      <c r="DE406" s="66"/>
      <c r="DF406" s="66"/>
      <c r="DG406" s="66"/>
      <c r="DH406" s="66"/>
      <c r="DI406" s="66"/>
      <c r="DJ406" s="66"/>
      <c r="DK406" s="66"/>
      <c r="DL406" s="66"/>
      <c r="DM406" s="66"/>
      <c r="DN406" s="66"/>
      <c r="DO406" s="66"/>
      <c r="DP406" s="66"/>
      <c r="DQ406" s="66"/>
      <c r="DR406" s="66"/>
      <c r="DS406" s="66"/>
      <c r="DT406" s="66"/>
      <c r="DU406" s="66"/>
      <c r="DV406" s="66"/>
      <c r="DW406" s="66"/>
      <c r="DX406" s="66"/>
      <c r="DY406" s="66"/>
      <c r="DZ406" s="66"/>
      <c r="EA406" s="66"/>
      <c r="EB406" s="66"/>
      <c r="EC406" s="66"/>
      <c r="ED406" s="66"/>
      <c r="EE406" s="66"/>
      <c r="EF406" s="66"/>
      <c r="EG406" s="66"/>
      <c r="EH406" s="66"/>
      <c r="EI406" s="66"/>
      <c r="EJ406" s="66"/>
      <c r="EK406" s="66"/>
      <c r="EL406" s="66"/>
      <c r="EM406" s="66"/>
      <c r="EN406" s="66"/>
      <c r="EO406" s="66"/>
      <c r="EP406" s="66"/>
      <c r="EQ406" s="66"/>
      <c r="ER406" s="66"/>
      <c r="ES406" s="66"/>
      <c r="ET406" s="66"/>
      <c r="EU406" s="66"/>
      <c r="EV406" s="66"/>
      <c r="EW406" s="66"/>
      <c r="EX406" s="66"/>
      <c r="EY406" s="66"/>
      <c r="EZ406" s="66"/>
      <c r="FA406" s="66"/>
      <c r="FB406" s="66"/>
      <c r="FC406" s="66"/>
      <c r="FD406" s="66"/>
      <c r="FE406" s="66"/>
      <c r="FF406" s="66"/>
      <c r="FG406" s="66"/>
      <c r="FH406" s="66"/>
      <c r="FI406" s="66"/>
      <c r="FJ406" s="66"/>
      <c r="FK406" s="66"/>
      <c r="FL406" s="66"/>
      <c r="FM406" s="66"/>
      <c r="FN406" s="66"/>
      <c r="FO406" s="66"/>
      <c r="FP406" s="66"/>
      <c r="FQ406" s="66"/>
      <c r="FR406" s="66"/>
      <c r="FS406" s="66"/>
      <c r="FT406" s="66"/>
      <c r="FU406" s="66"/>
      <c r="FV406" s="66"/>
      <c r="FW406" s="66"/>
      <c r="FX406" s="66"/>
      <c r="FY406" s="66"/>
      <c r="FZ406" s="66"/>
      <c r="GA406" s="66"/>
      <c r="GB406" s="66"/>
      <c r="GC406" s="66"/>
      <c r="GD406" s="66"/>
      <c r="GE406" s="66"/>
      <c r="GF406" s="66"/>
      <c r="GG406" s="66"/>
      <c r="GH406" s="66"/>
      <c r="GI406" s="66"/>
      <c r="GJ406" s="66"/>
      <c r="GK406" s="66"/>
      <c r="GL406" s="66"/>
      <c r="GM406" s="66"/>
      <c r="GN406" s="66"/>
      <c r="GO406" s="66"/>
      <c r="GP406" s="66"/>
      <c r="GQ406" s="66"/>
      <c r="GR406" s="66"/>
      <c r="GS406" s="66"/>
      <c r="GT406" s="66"/>
      <c r="GU406" s="66"/>
      <c r="GV406" s="66"/>
      <c r="GW406" s="66"/>
      <c r="GX406" s="66"/>
      <c r="GY406" s="66"/>
      <c r="GZ406" s="66"/>
      <c r="HA406" s="66"/>
      <c r="HB406" s="66"/>
      <c r="HC406" s="66"/>
      <c r="HD406" s="66"/>
      <c r="HE406" s="66"/>
      <c r="HF406" s="66"/>
      <c r="HG406" s="66"/>
      <c r="HH406" s="66"/>
      <c r="HI406" s="66"/>
      <c r="HJ406" s="66"/>
      <c r="HK406" s="66"/>
      <c r="HL406" s="66"/>
      <c r="HM406" s="66"/>
      <c r="HN406" s="66"/>
      <c r="HO406" s="66"/>
      <c r="HP406" s="66"/>
      <c r="HQ406" s="66"/>
      <c r="HR406" s="66"/>
      <c r="HS406" s="66"/>
      <c r="HT406" s="66"/>
      <c r="HU406" s="66"/>
      <c r="HV406" s="66"/>
      <c r="HW406" s="66"/>
      <c r="HX406" s="66"/>
      <c r="HY406" s="66"/>
      <c r="HZ406" s="66"/>
      <c r="IA406" s="66"/>
      <c r="IB406" s="66"/>
      <c r="IC406" s="66"/>
      <c r="ID406" s="66"/>
      <c r="IE406" s="66"/>
      <c r="IF406" s="66"/>
      <c r="IG406" s="66"/>
      <c r="IH406" s="66"/>
      <c r="II406" s="66"/>
      <c r="IJ406" s="66"/>
      <c r="IK406" s="66"/>
      <c r="IL406" s="66"/>
      <c r="IM406" s="66"/>
      <c r="IN406" s="66"/>
      <c r="IO406" s="66"/>
      <c r="IP406" s="66"/>
      <c r="IQ406" s="66"/>
      <c r="IR406" s="66"/>
      <c r="IS406" s="66"/>
      <c r="IT406" s="66"/>
      <c r="IU406" s="66"/>
      <c r="IV406" s="66"/>
    </row>
    <row r="407" spans="1:256" ht="30" customHeight="1" x14ac:dyDescent="0.25">
      <c r="A407" s="214">
        <v>844544.82</v>
      </c>
      <c r="B407" s="175" t="s">
        <v>711</v>
      </c>
      <c r="C407" s="202"/>
      <c r="D407" s="187"/>
      <c r="E407" s="202"/>
      <c r="F407" s="202"/>
      <c r="G407" s="188"/>
      <c r="H407" s="204"/>
      <c r="I407" s="188"/>
      <c r="J407" s="189"/>
      <c r="K407" s="189"/>
      <c r="L407" s="189"/>
      <c r="M407" s="189"/>
      <c r="N407" s="188"/>
      <c r="O407" s="188">
        <v>0</v>
      </c>
      <c r="P407" s="188">
        <v>0</v>
      </c>
      <c r="Q407" s="188">
        <v>0</v>
      </c>
      <c r="R407" s="188">
        <v>149307</v>
      </c>
      <c r="S407" s="188">
        <v>250000</v>
      </c>
      <c r="T407" s="188">
        <v>250000</v>
      </c>
      <c r="U407" s="188">
        <v>498898</v>
      </c>
      <c r="V407" s="190">
        <f t="shared" si="159"/>
        <v>598677.6</v>
      </c>
      <c r="W407" s="188"/>
      <c r="X407" s="188"/>
      <c r="Y407" s="188"/>
      <c r="Z407" s="188">
        <v>1500000</v>
      </c>
      <c r="AA407" s="198">
        <v>202000</v>
      </c>
      <c r="AB407" s="198">
        <v>202000</v>
      </c>
      <c r="AC407" s="196"/>
      <c r="AD407" s="88" t="s">
        <v>699</v>
      </c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</row>
    <row r="408" spans="1:256" ht="30" customHeight="1" x14ac:dyDescent="0.25">
      <c r="A408" s="222"/>
      <c r="B408" s="275" t="s">
        <v>7</v>
      </c>
      <c r="C408" s="211">
        <f t="shared" ref="C408:N408" si="175">SUM(C402:C405)</f>
        <v>390000</v>
      </c>
      <c r="D408" s="211">
        <f t="shared" si="175"/>
        <v>0</v>
      </c>
      <c r="E408" s="211">
        <f t="shared" si="175"/>
        <v>912117</v>
      </c>
      <c r="F408" s="211">
        <f t="shared" si="175"/>
        <v>947000</v>
      </c>
      <c r="G408" s="212">
        <f t="shared" si="175"/>
        <v>543000</v>
      </c>
      <c r="H408" s="212">
        <f t="shared" si="175"/>
        <v>572933</v>
      </c>
      <c r="I408" s="212">
        <f t="shared" si="175"/>
        <v>531086</v>
      </c>
      <c r="J408" s="213">
        <f t="shared" si="175"/>
        <v>0</v>
      </c>
      <c r="K408" s="213">
        <f t="shared" si="175"/>
        <v>708114.66666666674</v>
      </c>
      <c r="L408" s="213">
        <f t="shared" si="175"/>
        <v>526232</v>
      </c>
      <c r="M408" s="213">
        <f t="shared" si="175"/>
        <v>325880</v>
      </c>
      <c r="N408" s="212">
        <f t="shared" si="175"/>
        <v>526835</v>
      </c>
      <c r="O408" s="212">
        <f>SUM(O402:O407)</f>
        <v>878100</v>
      </c>
      <c r="P408" s="212">
        <f>SUM(P402:P405)</f>
        <v>852112</v>
      </c>
      <c r="Q408" s="212">
        <f t="shared" ref="Q408:Y408" si="176">SUM(Q402:Q407)</f>
        <v>878100</v>
      </c>
      <c r="R408" s="212">
        <f t="shared" si="176"/>
        <v>577131</v>
      </c>
      <c r="S408" s="212">
        <f t="shared" si="176"/>
        <v>1155648</v>
      </c>
      <c r="T408" s="212">
        <f t="shared" si="176"/>
        <v>1174320</v>
      </c>
      <c r="U408" s="212">
        <f t="shared" si="176"/>
        <v>1058872</v>
      </c>
      <c r="V408" s="212">
        <f t="shared" si="176"/>
        <v>1270646.3999999999</v>
      </c>
      <c r="W408" s="212">
        <f t="shared" si="176"/>
        <v>1045000</v>
      </c>
      <c r="X408" s="212">
        <f t="shared" si="176"/>
        <v>846269</v>
      </c>
      <c r="Y408" s="212">
        <f t="shared" si="176"/>
        <v>1013000</v>
      </c>
      <c r="Z408" s="212">
        <f>SUM(Z401:Z407)</f>
        <v>2513000</v>
      </c>
      <c r="AA408" s="211">
        <f>SUM(AA401:AA407)</f>
        <v>1620000</v>
      </c>
      <c r="AB408" s="211">
        <f>SUM(AB401:AB407)</f>
        <v>1919000</v>
      </c>
      <c r="AC408" s="212">
        <f>SUM(AC401:AC407)</f>
        <v>8.9</v>
      </c>
      <c r="AD408" s="88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</row>
    <row r="409" spans="1:256" ht="30" customHeight="1" x14ac:dyDescent="0.25">
      <c r="A409" s="193"/>
      <c r="B409" s="233"/>
      <c r="C409" s="202">
        <v>0</v>
      </c>
      <c r="D409" s="203"/>
      <c r="E409" s="202">
        <v>0</v>
      </c>
      <c r="F409" s="202">
        <f>250000</f>
        <v>250000</v>
      </c>
      <c r="G409" s="204">
        <v>200000</v>
      </c>
      <c r="H409" s="204">
        <v>31197</v>
      </c>
      <c r="I409" s="188">
        <v>111415</v>
      </c>
      <c r="J409" s="189"/>
      <c r="K409" s="189">
        <f t="shared" si="174"/>
        <v>148553.33333333334</v>
      </c>
      <c r="L409" s="189">
        <v>7111</v>
      </c>
      <c r="M409" s="189">
        <v>0</v>
      </c>
      <c r="N409" s="250">
        <v>148533</v>
      </c>
      <c r="O409" s="250">
        <v>7100</v>
      </c>
      <c r="P409" s="190">
        <f>M409+L409</f>
        <v>7111</v>
      </c>
      <c r="Q409" s="190">
        <v>0</v>
      </c>
      <c r="R409" s="190">
        <v>0</v>
      </c>
      <c r="S409" s="190">
        <v>7111</v>
      </c>
      <c r="T409" s="190">
        <f>S409</f>
        <v>7111</v>
      </c>
      <c r="U409" s="190"/>
      <c r="V409" s="190">
        <f t="shared" si="159"/>
        <v>0</v>
      </c>
      <c r="W409" s="190"/>
      <c r="X409" s="190"/>
      <c r="Y409" s="190"/>
      <c r="Z409" s="190"/>
      <c r="AA409" s="191"/>
      <c r="AB409" s="191"/>
      <c r="AC409" s="219"/>
      <c r="AD409" s="88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</row>
    <row r="410" spans="1:256" ht="30" customHeight="1" x14ac:dyDescent="0.25">
      <c r="A410" s="197">
        <v>844600.78</v>
      </c>
      <c r="B410" s="233" t="s">
        <v>648</v>
      </c>
      <c r="C410" s="202"/>
      <c r="D410" s="203"/>
      <c r="E410" s="202"/>
      <c r="F410" s="202">
        <f>521100-250000</f>
        <v>271100</v>
      </c>
      <c r="G410" s="204">
        <v>0</v>
      </c>
      <c r="H410" s="204">
        <v>69859</v>
      </c>
      <c r="I410" s="188">
        <v>0</v>
      </c>
      <c r="J410" s="189"/>
      <c r="K410" s="189">
        <f t="shared" si="174"/>
        <v>0</v>
      </c>
      <c r="L410" s="189">
        <v>65625</v>
      </c>
      <c r="M410" s="189">
        <f>L410/7*5</f>
        <v>46875</v>
      </c>
      <c r="N410" s="204">
        <v>653600</v>
      </c>
      <c r="O410" s="204">
        <v>653600</v>
      </c>
      <c r="P410" s="188">
        <f>L410+M410</f>
        <v>112500</v>
      </c>
      <c r="Q410" s="189">
        <v>0</v>
      </c>
      <c r="R410" s="189">
        <v>149307</v>
      </c>
      <c r="S410" s="188">
        <f>R410*2</f>
        <v>298614</v>
      </c>
      <c r="T410" s="188">
        <v>298614</v>
      </c>
      <c r="U410" s="189">
        <v>337072</v>
      </c>
      <c r="V410" s="190">
        <f t="shared" si="159"/>
        <v>404486.40000000002</v>
      </c>
      <c r="W410" s="188"/>
      <c r="X410" s="188">
        <v>62369</v>
      </c>
      <c r="Y410" s="188">
        <v>74000</v>
      </c>
      <c r="Z410" s="188">
        <f>Y410</f>
        <v>74000</v>
      </c>
      <c r="AA410" s="198">
        <v>294000</v>
      </c>
      <c r="AB410" s="198">
        <v>294000</v>
      </c>
      <c r="AC410" s="219"/>
      <c r="AD410" s="88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</row>
    <row r="411" spans="1:256" ht="30" customHeight="1" x14ac:dyDescent="0.25">
      <c r="A411" s="197">
        <v>844601.78</v>
      </c>
      <c r="B411" s="233" t="s">
        <v>647</v>
      </c>
      <c r="C411" s="202"/>
      <c r="D411" s="203"/>
      <c r="E411" s="202"/>
      <c r="F411" s="202">
        <v>440980</v>
      </c>
      <c r="G411" s="204">
        <v>440980</v>
      </c>
      <c r="H411" s="204">
        <v>64172</v>
      </c>
      <c r="I411" s="188">
        <v>185819</v>
      </c>
      <c r="J411" s="189"/>
      <c r="K411" s="189">
        <f t="shared" si="174"/>
        <v>247758.66666666666</v>
      </c>
      <c r="L411" s="189">
        <v>317149</v>
      </c>
      <c r="M411" s="189">
        <f>L411/7*5</f>
        <v>226535</v>
      </c>
      <c r="N411" s="204">
        <v>1141800</v>
      </c>
      <c r="O411" s="204">
        <v>1141800</v>
      </c>
      <c r="P411" s="188">
        <f>L411+M411</f>
        <v>543684</v>
      </c>
      <c r="Q411" s="189">
        <v>0</v>
      </c>
      <c r="R411" s="189">
        <v>56792</v>
      </c>
      <c r="S411" s="188">
        <f>R411*2</f>
        <v>113584</v>
      </c>
      <c r="T411" s="188">
        <v>113584</v>
      </c>
      <c r="U411" s="189">
        <v>85425</v>
      </c>
      <c r="V411" s="190">
        <f t="shared" si="159"/>
        <v>102510</v>
      </c>
      <c r="W411" s="188"/>
      <c r="X411" s="188">
        <v>104417</v>
      </c>
      <c r="Y411" s="188">
        <v>140000</v>
      </c>
      <c r="Z411" s="188">
        <f>Y411</f>
        <v>140000</v>
      </c>
      <c r="AA411" s="198">
        <v>161000</v>
      </c>
      <c r="AB411" s="198">
        <v>161000</v>
      </c>
      <c r="AC411" s="219"/>
      <c r="AD411" s="88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</row>
    <row r="412" spans="1:256" ht="30" customHeight="1" x14ac:dyDescent="0.25">
      <c r="A412" s="197"/>
      <c r="B412" s="233"/>
      <c r="C412" s="202"/>
      <c r="D412" s="203"/>
      <c r="E412" s="202"/>
      <c r="F412" s="202">
        <v>135000</v>
      </c>
      <c r="G412" s="204">
        <v>135000</v>
      </c>
      <c r="H412" s="204">
        <v>0</v>
      </c>
      <c r="I412" s="188">
        <v>0</v>
      </c>
      <c r="J412" s="189"/>
      <c r="K412" s="189">
        <f t="shared" si="174"/>
        <v>0</v>
      </c>
      <c r="L412" s="189">
        <v>0</v>
      </c>
      <c r="M412" s="189">
        <f>L412/7*5</f>
        <v>0</v>
      </c>
      <c r="N412" s="204">
        <v>135000</v>
      </c>
      <c r="O412" s="204">
        <v>135000</v>
      </c>
      <c r="P412" s="188">
        <f>L412+M412</f>
        <v>0</v>
      </c>
      <c r="Q412" s="189">
        <v>0</v>
      </c>
      <c r="R412" s="189">
        <v>40941</v>
      </c>
      <c r="S412" s="188">
        <f>R412*2</f>
        <v>81882</v>
      </c>
      <c r="T412" s="188">
        <v>81882</v>
      </c>
      <c r="U412" s="189"/>
      <c r="V412" s="190">
        <f t="shared" si="159"/>
        <v>0</v>
      </c>
      <c r="W412" s="188"/>
      <c r="X412" s="188"/>
      <c r="Y412" s="188"/>
      <c r="Z412" s="188"/>
      <c r="AA412" s="198"/>
      <c r="AB412" s="198"/>
      <c r="AC412" s="219"/>
      <c r="AD412" s="88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</row>
    <row r="413" spans="1:256" ht="30" customHeight="1" x14ac:dyDescent="0.25">
      <c r="A413" s="222"/>
      <c r="B413" s="275" t="s">
        <v>410</v>
      </c>
      <c r="C413" s="211">
        <f t="shared" ref="C413:K413" si="177">SUM(C409:C412)</f>
        <v>0</v>
      </c>
      <c r="D413" s="211">
        <f t="shared" si="177"/>
        <v>0</v>
      </c>
      <c r="E413" s="211">
        <f t="shared" si="177"/>
        <v>0</v>
      </c>
      <c r="F413" s="211">
        <f t="shared" si="177"/>
        <v>1097080</v>
      </c>
      <c r="G413" s="212">
        <f>SUM(G409:G412)</f>
        <v>775980</v>
      </c>
      <c r="H413" s="212">
        <f t="shared" si="177"/>
        <v>165228</v>
      </c>
      <c r="I413" s="212">
        <f t="shared" si="177"/>
        <v>297234</v>
      </c>
      <c r="J413" s="213">
        <f t="shared" si="177"/>
        <v>0</v>
      </c>
      <c r="K413" s="213">
        <f t="shared" si="177"/>
        <v>396312</v>
      </c>
      <c r="L413" s="213">
        <f t="shared" ref="L413:Q413" si="178">SUM(L409:L412)</f>
        <v>389885</v>
      </c>
      <c r="M413" s="213">
        <f t="shared" si="178"/>
        <v>273410</v>
      </c>
      <c r="N413" s="212">
        <f t="shared" si="178"/>
        <v>2078933</v>
      </c>
      <c r="O413" s="212">
        <f t="shared" si="178"/>
        <v>1937500</v>
      </c>
      <c r="P413" s="212">
        <f t="shared" si="178"/>
        <v>663295</v>
      </c>
      <c r="Q413" s="212">
        <f t="shared" si="178"/>
        <v>0</v>
      </c>
      <c r="R413" s="212">
        <f t="shared" ref="R413:AC413" si="179">SUM(R409:R412)</f>
        <v>247040</v>
      </c>
      <c r="S413" s="212">
        <f t="shared" si="179"/>
        <v>501191</v>
      </c>
      <c r="T413" s="212">
        <f t="shared" si="179"/>
        <v>501191</v>
      </c>
      <c r="U413" s="212">
        <f t="shared" si="179"/>
        <v>422497</v>
      </c>
      <c r="V413" s="212">
        <f t="shared" si="179"/>
        <v>506996.4</v>
      </c>
      <c r="W413" s="212">
        <f t="shared" si="179"/>
        <v>0</v>
      </c>
      <c r="X413" s="212">
        <f t="shared" si="179"/>
        <v>166786</v>
      </c>
      <c r="Y413" s="212">
        <f t="shared" si="179"/>
        <v>214000</v>
      </c>
      <c r="Z413" s="212">
        <f t="shared" si="179"/>
        <v>214000</v>
      </c>
      <c r="AA413" s="211">
        <f t="shared" si="179"/>
        <v>455000</v>
      </c>
      <c r="AB413" s="211">
        <f t="shared" si="179"/>
        <v>455000</v>
      </c>
      <c r="AC413" s="212">
        <f t="shared" si="179"/>
        <v>0</v>
      </c>
      <c r="AD413" s="88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</row>
    <row r="414" spans="1:256" ht="30" customHeight="1" x14ac:dyDescent="0.25">
      <c r="A414" s="214">
        <v>845100.84</v>
      </c>
      <c r="B414" s="282" t="s">
        <v>173</v>
      </c>
      <c r="C414" s="194">
        <v>3100000</v>
      </c>
      <c r="D414" s="187"/>
      <c r="E414" s="202">
        <v>3585423</v>
      </c>
      <c r="F414" s="194">
        <f>3556000-110000-5257</f>
        <v>3440743</v>
      </c>
      <c r="G414" s="188">
        <v>3500000</v>
      </c>
      <c r="H414" s="195">
        <f>2819073-126000</f>
        <v>2693073</v>
      </c>
      <c r="I414" s="188">
        <v>2803042</v>
      </c>
      <c r="J414" s="189"/>
      <c r="K414" s="189">
        <f t="shared" si="174"/>
        <v>3737389.3333333335</v>
      </c>
      <c r="L414" s="189">
        <v>2383864</v>
      </c>
      <c r="M414" s="189">
        <f>L414/7*5</f>
        <v>1702760</v>
      </c>
      <c r="N414" s="188">
        <v>3500000</v>
      </c>
      <c r="O414" s="188">
        <v>4239500</v>
      </c>
      <c r="P414" s="188">
        <f>L414+M414</f>
        <v>4086624</v>
      </c>
      <c r="Q414" s="188">
        <f t="shared" si="160"/>
        <v>4239500</v>
      </c>
      <c r="R414" s="188">
        <f>2261300-100000</f>
        <v>2161300</v>
      </c>
      <c r="S414" s="188">
        <f>R414*2</f>
        <v>4322600</v>
      </c>
      <c r="T414" s="188">
        <v>4322600</v>
      </c>
      <c r="U414" s="188">
        <v>3803191</v>
      </c>
      <c r="V414" s="190">
        <f t="shared" si="159"/>
        <v>4563829.2</v>
      </c>
      <c r="W414" s="188">
        <v>4800000</v>
      </c>
      <c r="X414" s="188">
        <v>3816141</v>
      </c>
      <c r="Y414" s="188">
        <v>4579000</v>
      </c>
      <c r="Z414" s="188">
        <f>Y414</f>
        <v>4579000</v>
      </c>
      <c r="AA414" s="198">
        <v>4735000</v>
      </c>
      <c r="AB414" s="198">
        <v>4600000</v>
      </c>
      <c r="AC414" s="196"/>
      <c r="AD414" s="88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</row>
    <row r="415" spans="1:256" ht="30" customHeight="1" x14ac:dyDescent="0.25">
      <c r="A415" s="193">
        <v>845200.11</v>
      </c>
      <c r="B415" s="282" t="s">
        <v>371</v>
      </c>
      <c r="C415" s="194">
        <v>1200000</v>
      </c>
      <c r="D415" s="187"/>
      <c r="E415" s="202">
        <v>1231237</v>
      </c>
      <c r="F415" s="194">
        <v>1252000</v>
      </c>
      <c r="G415" s="188">
        <v>1301685</v>
      </c>
      <c r="H415" s="195">
        <v>952453</v>
      </c>
      <c r="I415" s="188">
        <v>1034078</v>
      </c>
      <c r="J415" s="189"/>
      <c r="K415" s="189">
        <f t="shared" si="174"/>
        <v>1378770.6666666667</v>
      </c>
      <c r="L415" s="189">
        <v>891411</v>
      </c>
      <c r="M415" s="189">
        <f t="shared" ref="M415:M426" si="180">L415/7*5</f>
        <v>636722.14285714284</v>
      </c>
      <c r="N415" s="190">
        <v>1344755</v>
      </c>
      <c r="O415" s="190">
        <v>1439800</v>
      </c>
      <c r="P415" s="190">
        <f>M415+L415</f>
        <v>1528133.1428571427</v>
      </c>
      <c r="Q415" s="190">
        <f>O415*1.045</f>
        <v>1504591</v>
      </c>
      <c r="R415" s="190">
        <f>789095.4*0.99</f>
        <v>781204.446</v>
      </c>
      <c r="S415" s="190">
        <f>R415*2</f>
        <v>1562408.892</v>
      </c>
      <c r="T415" s="190">
        <f>S415</f>
        <v>1562408.892</v>
      </c>
      <c r="U415" s="190">
        <v>1284636</v>
      </c>
      <c r="V415" s="190">
        <f t="shared" si="159"/>
        <v>1541563.2</v>
      </c>
      <c r="W415" s="190">
        <v>1562409</v>
      </c>
      <c r="X415" s="190">
        <f>Y415*10/12</f>
        <v>1300000</v>
      </c>
      <c r="Y415" s="190">
        <v>1560000</v>
      </c>
      <c r="Z415" s="190">
        <v>1639000</v>
      </c>
      <c r="AA415" s="191">
        <v>1651000</v>
      </c>
      <c r="AB415" s="191">
        <v>1672000</v>
      </c>
      <c r="AC415" s="196">
        <v>12.69</v>
      </c>
      <c r="AD415" s="88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</row>
    <row r="416" spans="1:256" ht="30" customHeight="1" x14ac:dyDescent="0.25">
      <c r="A416" s="214">
        <v>845200.43200000003</v>
      </c>
      <c r="B416" s="282" t="s">
        <v>174</v>
      </c>
      <c r="C416" s="194">
        <v>4000</v>
      </c>
      <c r="D416" s="187"/>
      <c r="E416" s="202">
        <v>2000</v>
      </c>
      <c r="F416" s="194">
        <v>3000</v>
      </c>
      <c r="G416" s="188">
        <v>3000</v>
      </c>
      <c r="H416" s="195">
        <v>2500</v>
      </c>
      <c r="I416" s="188">
        <v>3655</v>
      </c>
      <c r="J416" s="189"/>
      <c r="K416" s="189">
        <f t="shared" si="174"/>
        <v>4873.333333333333</v>
      </c>
      <c r="L416" s="189">
        <v>3083</v>
      </c>
      <c r="M416" s="189">
        <v>3000</v>
      </c>
      <c r="N416" s="188">
        <v>5000</v>
      </c>
      <c r="O416" s="188">
        <v>5000</v>
      </c>
      <c r="P416" s="188">
        <f t="shared" ref="P416:P426" si="181">L416+M416</f>
        <v>6083</v>
      </c>
      <c r="Q416" s="188">
        <f t="shared" si="160"/>
        <v>5000</v>
      </c>
      <c r="R416" s="188">
        <v>2065</v>
      </c>
      <c r="S416" s="188">
        <f t="shared" ref="S416:S426" si="182">R416*2</f>
        <v>4130</v>
      </c>
      <c r="T416" s="188">
        <f t="shared" ref="T416:T426" si="183">Q416</f>
        <v>5000</v>
      </c>
      <c r="U416" s="188">
        <f>5716+400</f>
        <v>6116</v>
      </c>
      <c r="V416" s="190">
        <f t="shared" si="159"/>
        <v>7339.2</v>
      </c>
      <c r="W416" s="188">
        <v>8000</v>
      </c>
      <c r="X416" s="188">
        <v>5753</v>
      </c>
      <c r="Y416" s="188">
        <v>7000</v>
      </c>
      <c r="Z416" s="188">
        <f t="shared" ref="Z416:Z447" si="184">Y416</f>
        <v>7000</v>
      </c>
      <c r="AA416" s="198">
        <v>7000</v>
      </c>
      <c r="AB416" s="198">
        <v>7000</v>
      </c>
      <c r="AC416" s="196"/>
      <c r="AD416" s="88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</row>
    <row r="417" spans="1:256" ht="30" customHeight="1" x14ac:dyDescent="0.25">
      <c r="A417" s="214">
        <v>845200.53</v>
      </c>
      <c r="B417" s="282" t="s">
        <v>175</v>
      </c>
      <c r="C417" s="194">
        <v>30000</v>
      </c>
      <c r="D417" s="187"/>
      <c r="E417" s="202">
        <v>15935</v>
      </c>
      <c r="F417" s="194">
        <v>25000</v>
      </c>
      <c r="G417" s="188">
        <v>12000</v>
      </c>
      <c r="H417" s="195">
        <v>9165</v>
      </c>
      <c r="I417" s="188">
        <v>3326</v>
      </c>
      <c r="J417" s="189"/>
      <c r="K417" s="189">
        <f t="shared" si="174"/>
        <v>4434.666666666667</v>
      </c>
      <c r="L417" s="189">
        <v>6492</v>
      </c>
      <c r="M417" s="189">
        <f t="shared" si="180"/>
        <v>4637.1428571428569</v>
      </c>
      <c r="N417" s="188">
        <v>5000</v>
      </c>
      <c r="O417" s="188">
        <v>6500</v>
      </c>
      <c r="P417" s="188">
        <f t="shared" si="181"/>
        <v>11129.142857142857</v>
      </c>
      <c r="Q417" s="188">
        <f t="shared" si="160"/>
        <v>6500</v>
      </c>
      <c r="R417" s="188">
        <v>8210</v>
      </c>
      <c r="S417" s="188">
        <f t="shared" si="182"/>
        <v>16420</v>
      </c>
      <c r="T417" s="188">
        <v>16420</v>
      </c>
      <c r="U417" s="188">
        <v>9706</v>
      </c>
      <c r="V417" s="190">
        <f t="shared" si="159"/>
        <v>11647.2</v>
      </c>
      <c r="W417" s="188"/>
      <c r="X417" s="188">
        <v>1714</v>
      </c>
      <c r="Y417" s="188">
        <v>2000</v>
      </c>
      <c r="Z417" s="188">
        <f t="shared" si="184"/>
        <v>2000</v>
      </c>
      <c r="AA417" s="198"/>
      <c r="AB417" s="198"/>
      <c r="AC417" s="196"/>
      <c r="AD417" s="88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</row>
    <row r="418" spans="1:256" ht="30" customHeight="1" x14ac:dyDescent="0.25">
      <c r="A418" s="214">
        <v>845200.54</v>
      </c>
      <c r="B418" s="282" t="s">
        <v>176</v>
      </c>
      <c r="C418" s="194">
        <v>4000</v>
      </c>
      <c r="D418" s="187"/>
      <c r="E418" s="202">
        <v>4776</v>
      </c>
      <c r="F418" s="194">
        <v>4000</v>
      </c>
      <c r="G418" s="188">
        <v>5000</v>
      </c>
      <c r="H418" s="195">
        <v>3950</v>
      </c>
      <c r="I418" s="188">
        <v>2412</v>
      </c>
      <c r="J418" s="189"/>
      <c r="K418" s="189">
        <f t="shared" si="174"/>
        <v>3216</v>
      </c>
      <c r="L418" s="189">
        <v>1421</v>
      </c>
      <c r="M418" s="189">
        <f t="shared" si="180"/>
        <v>1015</v>
      </c>
      <c r="N418" s="188">
        <v>3000</v>
      </c>
      <c r="O418" s="188">
        <v>2300</v>
      </c>
      <c r="P418" s="188">
        <f t="shared" si="181"/>
        <v>2436</v>
      </c>
      <c r="Q418" s="188">
        <f t="shared" si="160"/>
        <v>2300</v>
      </c>
      <c r="R418" s="188">
        <v>678</v>
      </c>
      <c r="S418" s="188">
        <f t="shared" si="182"/>
        <v>1356</v>
      </c>
      <c r="T418" s="188">
        <f t="shared" si="183"/>
        <v>2300</v>
      </c>
      <c r="U418" s="188">
        <v>1555</v>
      </c>
      <c r="V418" s="190">
        <f t="shared" si="159"/>
        <v>1866</v>
      </c>
      <c r="W418" s="188">
        <v>2500</v>
      </c>
      <c r="X418" s="188">
        <v>1293</v>
      </c>
      <c r="Y418" s="188">
        <v>2000</v>
      </c>
      <c r="Z418" s="188">
        <f t="shared" si="184"/>
        <v>2000</v>
      </c>
      <c r="AA418" s="198">
        <v>2000</v>
      </c>
      <c r="AB418" s="198">
        <v>2000</v>
      </c>
      <c r="AC418" s="196"/>
      <c r="AD418" s="88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</row>
    <row r="419" spans="1:256" ht="30" customHeight="1" x14ac:dyDescent="0.25">
      <c r="A419" s="214">
        <v>845200.72</v>
      </c>
      <c r="B419" s="282" t="s">
        <v>177</v>
      </c>
      <c r="C419" s="194">
        <v>110000</v>
      </c>
      <c r="D419" s="187"/>
      <c r="E419" s="202">
        <v>104231</v>
      </c>
      <c r="F419" s="194">
        <v>105000</v>
      </c>
      <c r="G419" s="188">
        <v>90000</v>
      </c>
      <c r="H419" s="195">
        <v>67214</v>
      </c>
      <c r="I419" s="188">
        <v>71602</v>
      </c>
      <c r="J419" s="189"/>
      <c r="K419" s="189">
        <f t="shared" si="174"/>
        <v>95469.333333333328</v>
      </c>
      <c r="L419" s="189">
        <v>87450</v>
      </c>
      <c r="M419" s="189">
        <f t="shared" si="180"/>
        <v>62464.285714285717</v>
      </c>
      <c r="N419" s="188">
        <v>95000</v>
      </c>
      <c r="O419" s="188">
        <v>95000</v>
      </c>
      <c r="P419" s="188">
        <f t="shared" si="181"/>
        <v>149914.28571428571</v>
      </c>
      <c r="Q419" s="188">
        <f t="shared" si="160"/>
        <v>95000</v>
      </c>
      <c r="R419" s="188">
        <v>35689</v>
      </c>
      <c r="S419" s="188">
        <f t="shared" si="182"/>
        <v>71378</v>
      </c>
      <c r="T419" s="188">
        <v>72000</v>
      </c>
      <c r="U419" s="188">
        <v>66954</v>
      </c>
      <c r="V419" s="190">
        <f t="shared" si="159"/>
        <v>80344.800000000003</v>
      </c>
      <c r="W419" s="188">
        <v>100000</v>
      </c>
      <c r="X419" s="188">
        <v>83342</v>
      </c>
      <c r="Y419" s="188">
        <v>100000</v>
      </c>
      <c r="Z419" s="188">
        <f t="shared" si="184"/>
        <v>100000</v>
      </c>
      <c r="AA419" s="198">
        <v>124000</v>
      </c>
      <c r="AB419" s="198">
        <v>124000</v>
      </c>
      <c r="AC419" s="196"/>
      <c r="AD419" s="88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</row>
    <row r="420" spans="1:256" ht="30" customHeight="1" x14ac:dyDescent="0.25">
      <c r="A420" s="214">
        <v>845200.74</v>
      </c>
      <c r="B420" s="282" t="s">
        <v>179</v>
      </c>
      <c r="C420" s="194">
        <v>2000</v>
      </c>
      <c r="D420" s="187"/>
      <c r="E420" s="202">
        <v>2000</v>
      </c>
      <c r="F420" s="194">
        <v>2000</v>
      </c>
      <c r="G420" s="188">
        <v>1000</v>
      </c>
      <c r="H420" s="195">
        <v>500</v>
      </c>
      <c r="I420" s="188">
        <v>5520</v>
      </c>
      <c r="J420" s="189"/>
      <c r="K420" s="189">
        <f t="shared" si="174"/>
        <v>7360</v>
      </c>
      <c r="L420" s="189">
        <v>6420</v>
      </c>
      <c r="M420" s="189">
        <f t="shared" si="180"/>
        <v>4585.7142857142853</v>
      </c>
      <c r="N420" s="188">
        <v>7000</v>
      </c>
      <c r="O420" s="188">
        <v>6500</v>
      </c>
      <c r="P420" s="188">
        <f t="shared" si="181"/>
        <v>11005.714285714286</v>
      </c>
      <c r="Q420" s="188">
        <f t="shared" si="160"/>
        <v>6500</v>
      </c>
      <c r="R420" s="188">
        <v>5474</v>
      </c>
      <c r="S420" s="188">
        <f t="shared" si="182"/>
        <v>10948</v>
      </c>
      <c r="T420" s="188">
        <v>10948</v>
      </c>
      <c r="U420" s="188">
        <v>5475</v>
      </c>
      <c r="V420" s="190">
        <f t="shared" si="159"/>
        <v>6570</v>
      </c>
      <c r="W420" s="188">
        <v>10000</v>
      </c>
      <c r="X420" s="188">
        <v>4874</v>
      </c>
      <c r="Y420" s="188">
        <v>6000</v>
      </c>
      <c r="Z420" s="188">
        <f t="shared" si="184"/>
        <v>6000</v>
      </c>
      <c r="AA420" s="198">
        <v>3000</v>
      </c>
      <c r="AB420" s="198">
        <v>3000</v>
      </c>
      <c r="AC420" s="196"/>
      <c r="AD420" s="88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</row>
    <row r="421" spans="1:256" ht="30" customHeight="1" x14ac:dyDescent="0.25">
      <c r="A421" s="214">
        <v>845200.75</v>
      </c>
      <c r="B421" s="282" t="s">
        <v>225</v>
      </c>
      <c r="C421" s="194">
        <v>5000</v>
      </c>
      <c r="D421" s="187"/>
      <c r="E421" s="202">
        <v>1577</v>
      </c>
      <c r="F421" s="194">
        <v>4000</v>
      </c>
      <c r="G421" s="188">
        <v>1000</v>
      </c>
      <c r="H421" s="195">
        <v>1000</v>
      </c>
      <c r="I421" s="188">
        <v>0</v>
      </c>
      <c r="J421" s="189"/>
      <c r="K421" s="189">
        <f t="shared" si="174"/>
        <v>0</v>
      </c>
      <c r="L421" s="189">
        <v>0</v>
      </c>
      <c r="M421" s="189">
        <f t="shared" si="180"/>
        <v>0</v>
      </c>
      <c r="N421" s="188">
        <v>1000</v>
      </c>
      <c r="O421" s="188">
        <v>1000</v>
      </c>
      <c r="P421" s="188">
        <f t="shared" si="181"/>
        <v>0</v>
      </c>
      <c r="Q421" s="188">
        <f t="shared" si="160"/>
        <v>1000</v>
      </c>
      <c r="R421" s="188">
        <v>500</v>
      </c>
      <c r="S421" s="188">
        <f t="shared" si="182"/>
        <v>1000</v>
      </c>
      <c r="T421" s="188">
        <f t="shared" si="183"/>
        <v>1000</v>
      </c>
      <c r="U421" s="188"/>
      <c r="V421" s="190">
        <f t="shared" si="159"/>
        <v>0</v>
      </c>
      <c r="W421" s="188"/>
      <c r="X421" s="188">
        <v>2221</v>
      </c>
      <c r="Y421" s="188">
        <v>2500</v>
      </c>
      <c r="Z421" s="188">
        <f t="shared" si="184"/>
        <v>2500</v>
      </c>
      <c r="AA421" s="198"/>
      <c r="AB421" s="198"/>
      <c r="AC421" s="196"/>
      <c r="AD421" s="88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</row>
    <row r="422" spans="1:256" ht="30" customHeight="1" x14ac:dyDescent="0.25">
      <c r="A422" s="214">
        <v>845200.78</v>
      </c>
      <c r="B422" s="282" t="s">
        <v>180</v>
      </c>
      <c r="C422" s="194">
        <v>20000</v>
      </c>
      <c r="D422" s="187"/>
      <c r="E422" s="202">
        <v>28147</v>
      </c>
      <c r="F422" s="194">
        <v>25000</v>
      </c>
      <c r="G422" s="188">
        <v>19000</v>
      </c>
      <c r="H422" s="195">
        <v>14518</v>
      </c>
      <c r="I422" s="188">
        <v>16540</v>
      </c>
      <c r="J422" s="189"/>
      <c r="K422" s="189">
        <f t="shared" si="174"/>
        <v>22053.333333333332</v>
      </c>
      <c r="L422" s="189">
        <v>43331</v>
      </c>
      <c r="M422" s="189">
        <f t="shared" si="180"/>
        <v>30950.714285714283</v>
      </c>
      <c r="N422" s="188">
        <v>22000</v>
      </c>
      <c r="O422" s="188">
        <v>49700</v>
      </c>
      <c r="P422" s="188">
        <f t="shared" si="181"/>
        <v>74281.71428571429</v>
      </c>
      <c r="Q422" s="188">
        <f t="shared" si="160"/>
        <v>49700</v>
      </c>
      <c r="R422" s="188">
        <v>27221</v>
      </c>
      <c r="S422" s="188">
        <f t="shared" si="182"/>
        <v>54442</v>
      </c>
      <c r="T422" s="188">
        <v>54442</v>
      </c>
      <c r="U422" s="188">
        <v>45382</v>
      </c>
      <c r="V422" s="190">
        <f t="shared" si="159"/>
        <v>54458.400000000001</v>
      </c>
      <c r="W422" s="188">
        <v>30000</v>
      </c>
      <c r="X422" s="188">
        <v>9783</v>
      </c>
      <c r="Y422" s="188">
        <v>11000</v>
      </c>
      <c r="Z422" s="188">
        <f t="shared" si="184"/>
        <v>11000</v>
      </c>
      <c r="AA422" s="198">
        <v>36000</v>
      </c>
      <c r="AB422" s="198">
        <v>36000</v>
      </c>
      <c r="AC422" s="196"/>
      <c r="AD422" s="88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</row>
    <row r="423" spans="1:256" ht="30" customHeight="1" x14ac:dyDescent="0.25">
      <c r="A423" s="214">
        <v>845200.84</v>
      </c>
      <c r="B423" s="282" t="s">
        <v>649</v>
      </c>
      <c r="C423" s="194">
        <v>20000</v>
      </c>
      <c r="D423" s="187"/>
      <c r="E423" s="202">
        <v>32636</v>
      </c>
      <c r="F423" s="194">
        <v>32000</v>
      </c>
      <c r="G423" s="188">
        <v>75000</v>
      </c>
      <c r="H423" s="195">
        <v>56179</v>
      </c>
      <c r="I423" s="188">
        <v>116333</v>
      </c>
      <c r="J423" s="189"/>
      <c r="K423" s="189">
        <f t="shared" si="174"/>
        <v>155110.66666666666</v>
      </c>
      <c r="L423" s="189">
        <v>84681</v>
      </c>
      <c r="M423" s="189">
        <f t="shared" si="180"/>
        <v>60486.428571428565</v>
      </c>
      <c r="N423" s="188">
        <v>116000</v>
      </c>
      <c r="O423" s="188">
        <v>176400</v>
      </c>
      <c r="P423" s="188">
        <f t="shared" si="181"/>
        <v>145167.42857142858</v>
      </c>
      <c r="Q423" s="188">
        <f t="shared" si="160"/>
        <v>176400</v>
      </c>
      <c r="R423" s="188">
        <v>117464</v>
      </c>
      <c r="S423" s="188">
        <f t="shared" si="182"/>
        <v>234928</v>
      </c>
      <c r="T423" s="188">
        <v>234928</v>
      </c>
      <c r="U423" s="188">
        <v>237818</v>
      </c>
      <c r="V423" s="190">
        <f t="shared" si="159"/>
        <v>285381.59999999998</v>
      </c>
      <c r="W423" s="188"/>
      <c r="X423" s="188">
        <v>275099</v>
      </c>
      <c r="Y423" s="188">
        <v>330000</v>
      </c>
      <c r="Z423" s="188">
        <f t="shared" si="184"/>
        <v>330000</v>
      </c>
      <c r="AA423" s="198">
        <v>699000</v>
      </c>
      <c r="AB423" s="198">
        <v>570000</v>
      </c>
      <c r="AC423" s="196"/>
      <c r="AD423" s="88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</row>
    <row r="424" spans="1:256" ht="30" customHeight="1" x14ac:dyDescent="0.25">
      <c r="A424" s="214">
        <v>845201.84</v>
      </c>
      <c r="B424" s="282" t="s">
        <v>712</v>
      </c>
      <c r="C424" s="194"/>
      <c r="D424" s="187"/>
      <c r="E424" s="202"/>
      <c r="F424" s="194"/>
      <c r="G424" s="188"/>
      <c r="H424" s="195"/>
      <c r="I424" s="188"/>
      <c r="J424" s="189"/>
      <c r="K424" s="189"/>
      <c r="L424" s="189"/>
      <c r="M424" s="189"/>
      <c r="N424" s="188"/>
      <c r="O424" s="188"/>
      <c r="P424" s="188">
        <f t="shared" si="181"/>
        <v>0</v>
      </c>
      <c r="Q424" s="188">
        <v>200000</v>
      </c>
      <c r="R424" s="188">
        <v>0</v>
      </c>
      <c r="S424" s="188">
        <v>200000</v>
      </c>
      <c r="T424" s="188">
        <f t="shared" si="183"/>
        <v>200000</v>
      </c>
      <c r="U424" s="188"/>
      <c r="V424" s="190">
        <f t="shared" si="159"/>
        <v>0</v>
      </c>
      <c r="W424" s="188">
        <v>80000</v>
      </c>
      <c r="X424" s="188"/>
      <c r="Y424" s="188"/>
      <c r="Z424" s="188"/>
      <c r="AA424" s="198"/>
      <c r="AB424" s="198">
        <v>70000</v>
      </c>
      <c r="AC424" s="196"/>
      <c r="AD424" s="88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</row>
    <row r="425" spans="1:256" ht="30" customHeight="1" x14ac:dyDescent="0.25">
      <c r="A425" s="214">
        <v>845300.84</v>
      </c>
      <c r="B425" s="175" t="s">
        <v>713</v>
      </c>
      <c r="C425" s="194">
        <v>35000</v>
      </c>
      <c r="D425" s="187"/>
      <c r="E425" s="202">
        <v>30466</v>
      </c>
      <c r="F425" s="194">
        <v>33000</v>
      </c>
      <c r="G425" s="226">
        <f>25000+25000</f>
        <v>50000</v>
      </c>
      <c r="H425" s="195">
        <v>18800</v>
      </c>
      <c r="I425" s="188">
        <v>44000</v>
      </c>
      <c r="J425" s="189"/>
      <c r="K425" s="189">
        <f t="shared" si="174"/>
        <v>58666.666666666664</v>
      </c>
      <c r="L425" s="189">
        <v>24000</v>
      </c>
      <c r="M425" s="189">
        <f t="shared" si="180"/>
        <v>17142.857142857141</v>
      </c>
      <c r="N425" s="189">
        <v>58000</v>
      </c>
      <c r="O425" s="188">
        <v>48000</v>
      </c>
      <c r="P425" s="188">
        <f t="shared" si="181"/>
        <v>41142.857142857145</v>
      </c>
      <c r="Q425" s="188">
        <f t="shared" si="160"/>
        <v>48000</v>
      </c>
      <c r="R425" s="188">
        <v>25942</v>
      </c>
      <c r="S425" s="188">
        <f t="shared" si="182"/>
        <v>51884</v>
      </c>
      <c r="T425" s="188">
        <v>51884</v>
      </c>
      <c r="U425" s="188">
        <v>38982</v>
      </c>
      <c r="V425" s="190">
        <f t="shared" si="159"/>
        <v>46778.400000000001</v>
      </c>
      <c r="W425" s="188">
        <v>82000</v>
      </c>
      <c r="X425" s="188"/>
      <c r="Y425" s="188"/>
      <c r="Z425" s="188"/>
      <c r="AA425" s="198"/>
      <c r="AB425" s="198">
        <v>164000</v>
      </c>
      <c r="AC425" s="196"/>
      <c r="AD425" s="88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</row>
    <row r="426" spans="1:256" ht="30" customHeight="1" x14ac:dyDescent="0.25">
      <c r="A426" s="214">
        <v>845300.84</v>
      </c>
      <c r="B426" s="175" t="s">
        <v>178</v>
      </c>
      <c r="C426" s="194">
        <v>20000</v>
      </c>
      <c r="D426" s="187"/>
      <c r="E426" s="202">
        <v>14612</v>
      </c>
      <c r="F426" s="194">
        <v>20000</v>
      </c>
      <c r="G426" s="188">
        <v>14000</v>
      </c>
      <c r="H426" s="195">
        <v>10329</v>
      </c>
      <c r="I426" s="188">
        <v>5795</v>
      </c>
      <c r="J426" s="189"/>
      <c r="K426" s="189">
        <f t="shared" si="174"/>
        <v>7726.666666666667</v>
      </c>
      <c r="L426" s="189">
        <v>57543</v>
      </c>
      <c r="M426" s="189">
        <f t="shared" si="180"/>
        <v>41102.142857142855</v>
      </c>
      <c r="N426" s="188">
        <v>8000</v>
      </c>
      <c r="O426" s="188">
        <v>58400</v>
      </c>
      <c r="P426" s="188">
        <f t="shared" si="181"/>
        <v>98645.142857142855</v>
      </c>
      <c r="Q426" s="188">
        <f t="shared" si="160"/>
        <v>58400</v>
      </c>
      <c r="R426" s="188">
        <v>27664</v>
      </c>
      <c r="S426" s="188">
        <f t="shared" si="182"/>
        <v>55328</v>
      </c>
      <c r="T426" s="188">
        <f t="shared" si="183"/>
        <v>58400</v>
      </c>
      <c r="U426" s="188">
        <v>48863</v>
      </c>
      <c r="V426" s="190">
        <f t="shared" si="159"/>
        <v>58635.6</v>
      </c>
      <c r="W426" s="188"/>
      <c r="X426" s="188">
        <v>147683</v>
      </c>
      <c r="Y426" s="188">
        <v>177000</v>
      </c>
      <c r="Z426" s="188">
        <f t="shared" si="184"/>
        <v>177000</v>
      </c>
      <c r="AA426" s="198">
        <v>190000</v>
      </c>
      <c r="AB426" s="198">
        <v>190000</v>
      </c>
      <c r="AC426" s="196"/>
      <c r="AD426" s="88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</row>
    <row r="427" spans="1:256" ht="30" customHeight="1" x14ac:dyDescent="0.25">
      <c r="A427" s="222"/>
      <c r="B427" s="275" t="s">
        <v>181</v>
      </c>
      <c r="C427" s="211">
        <f t="shared" ref="C427:K427" si="185">SUM(C414:C426)</f>
        <v>4550000</v>
      </c>
      <c r="D427" s="211">
        <f t="shared" si="185"/>
        <v>0</v>
      </c>
      <c r="E427" s="211">
        <f t="shared" si="185"/>
        <v>5053040</v>
      </c>
      <c r="F427" s="211">
        <f t="shared" si="185"/>
        <v>4945743</v>
      </c>
      <c r="G427" s="212">
        <f>SUM(G414:G426)</f>
        <v>5071685</v>
      </c>
      <c r="H427" s="212">
        <f t="shared" si="185"/>
        <v>3829681</v>
      </c>
      <c r="I427" s="212">
        <f t="shared" si="185"/>
        <v>4106303</v>
      </c>
      <c r="J427" s="213">
        <f t="shared" si="185"/>
        <v>0</v>
      </c>
      <c r="K427" s="213">
        <f t="shared" si="185"/>
        <v>5475070.666666667</v>
      </c>
      <c r="L427" s="213">
        <f t="shared" ref="L427:Q427" si="186">SUM(L414:L426)</f>
        <v>3589696</v>
      </c>
      <c r="M427" s="213">
        <f t="shared" si="186"/>
        <v>2564866.4285714282</v>
      </c>
      <c r="N427" s="212">
        <f t="shared" si="186"/>
        <v>5164755</v>
      </c>
      <c r="O427" s="212">
        <f t="shared" si="186"/>
        <v>6128100</v>
      </c>
      <c r="P427" s="212">
        <f t="shared" si="186"/>
        <v>6154562.4285714282</v>
      </c>
      <c r="Q427" s="212">
        <f t="shared" si="186"/>
        <v>6392891</v>
      </c>
      <c r="R427" s="212">
        <f t="shared" ref="R427:AC427" si="187">SUM(R414:R426)</f>
        <v>3193411.446</v>
      </c>
      <c r="S427" s="212">
        <f t="shared" si="187"/>
        <v>6586822.892</v>
      </c>
      <c r="T427" s="212">
        <f t="shared" si="187"/>
        <v>6592330.892</v>
      </c>
      <c r="U427" s="212">
        <f t="shared" si="187"/>
        <v>5548678</v>
      </c>
      <c r="V427" s="212">
        <f t="shared" si="187"/>
        <v>6658413.6000000006</v>
      </c>
      <c r="W427" s="212">
        <f t="shared" si="187"/>
        <v>6674909</v>
      </c>
      <c r="X427" s="212">
        <f t="shared" si="187"/>
        <v>5647903</v>
      </c>
      <c r="Y427" s="212">
        <f t="shared" si="187"/>
        <v>6776500</v>
      </c>
      <c r="Z427" s="212">
        <f t="shared" si="187"/>
        <v>6855500</v>
      </c>
      <c r="AA427" s="211">
        <f t="shared" si="187"/>
        <v>7447000</v>
      </c>
      <c r="AB427" s="211">
        <f t="shared" si="187"/>
        <v>7438000</v>
      </c>
      <c r="AC427" s="212">
        <f t="shared" si="187"/>
        <v>12.69</v>
      </c>
      <c r="AD427" s="88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</row>
    <row r="428" spans="1:256" ht="30" customHeight="1" x14ac:dyDescent="0.25">
      <c r="A428" s="214"/>
      <c r="B428" s="175"/>
      <c r="C428" s="194"/>
      <c r="D428" s="187"/>
      <c r="E428" s="202"/>
      <c r="F428" s="202"/>
      <c r="G428" s="226"/>
      <c r="H428" s="204"/>
      <c r="I428" s="188"/>
      <c r="J428" s="189"/>
      <c r="K428" s="189"/>
      <c r="L428" s="189"/>
      <c r="M428" s="189"/>
      <c r="N428" s="189"/>
      <c r="O428" s="189"/>
      <c r="P428" s="188"/>
      <c r="Q428" s="188"/>
      <c r="R428" s="188"/>
      <c r="S428" s="188"/>
      <c r="T428" s="188"/>
      <c r="U428" s="188"/>
      <c r="V428" s="190"/>
      <c r="W428" s="188"/>
      <c r="X428" s="188"/>
      <c r="Y428" s="188"/>
      <c r="Z428" s="188"/>
      <c r="AA428" s="198"/>
      <c r="AB428" s="198"/>
      <c r="AC428" s="196"/>
      <c r="AD428" s="88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</row>
    <row r="429" spans="1:256" ht="30" customHeight="1" x14ac:dyDescent="0.25">
      <c r="A429" s="214">
        <v>846300.84</v>
      </c>
      <c r="B429" s="175" t="s">
        <v>182</v>
      </c>
      <c r="C429" s="194">
        <v>135000</v>
      </c>
      <c r="D429" s="187"/>
      <c r="E429" s="202">
        <v>11105</v>
      </c>
      <c r="F429" s="202">
        <v>11000</v>
      </c>
      <c r="G429" s="188">
        <v>7000</v>
      </c>
      <c r="H429" s="204">
        <v>5201</v>
      </c>
      <c r="I429" s="188">
        <v>3834</v>
      </c>
      <c r="J429" s="189"/>
      <c r="K429" s="189">
        <f t="shared" si="174"/>
        <v>5112</v>
      </c>
      <c r="L429" s="189">
        <v>30486</v>
      </c>
      <c r="M429" s="189">
        <f t="shared" ref="M429:M439" si="188">L429/7*5</f>
        <v>21775.714285714283</v>
      </c>
      <c r="N429" s="188">
        <v>5000</v>
      </c>
      <c r="O429" s="188">
        <v>40900</v>
      </c>
      <c r="P429" s="188">
        <f t="shared" ref="P429:P439" si="189">L429+M429</f>
        <v>52261.714285714283</v>
      </c>
      <c r="Q429" s="188">
        <f t="shared" si="160"/>
        <v>40900</v>
      </c>
      <c r="R429" s="188">
        <v>17370</v>
      </c>
      <c r="S429" s="188">
        <f t="shared" ref="S429:S438" si="190">R429*2</f>
        <v>34740</v>
      </c>
      <c r="T429" s="188">
        <f>Q429</f>
        <v>40900</v>
      </c>
      <c r="U429" s="188">
        <v>22458</v>
      </c>
      <c r="V429" s="190">
        <f t="shared" si="159"/>
        <v>26949.599999999999</v>
      </c>
      <c r="W429" s="188"/>
      <c r="X429" s="188">
        <v>16298</v>
      </c>
      <c r="Y429" s="188">
        <v>19000</v>
      </c>
      <c r="Z429" s="188">
        <f t="shared" si="184"/>
        <v>19000</v>
      </c>
      <c r="AA429" s="198">
        <v>23000</v>
      </c>
      <c r="AB429" s="198">
        <v>23000</v>
      </c>
      <c r="AC429" s="196"/>
      <c r="AD429" s="88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</row>
    <row r="430" spans="1:256" ht="30" customHeight="1" x14ac:dyDescent="0.25">
      <c r="A430" s="214">
        <v>846500.84</v>
      </c>
      <c r="B430" s="175" t="s">
        <v>253</v>
      </c>
      <c r="C430" s="194">
        <v>75000</v>
      </c>
      <c r="D430" s="187"/>
      <c r="E430" s="202">
        <v>0</v>
      </c>
      <c r="F430" s="202">
        <v>5000</v>
      </c>
      <c r="G430" s="188">
        <v>1000</v>
      </c>
      <c r="H430" s="204">
        <v>1000</v>
      </c>
      <c r="I430" s="188">
        <v>0</v>
      </c>
      <c r="J430" s="189"/>
      <c r="K430" s="189">
        <f t="shared" si="174"/>
        <v>0</v>
      </c>
      <c r="L430" s="189">
        <v>0</v>
      </c>
      <c r="M430" s="189">
        <f t="shared" si="188"/>
        <v>0</v>
      </c>
      <c r="N430" s="188">
        <v>1000</v>
      </c>
      <c r="O430" s="188"/>
      <c r="P430" s="188">
        <f t="shared" si="189"/>
        <v>0</v>
      </c>
      <c r="Q430" s="188">
        <f t="shared" si="160"/>
        <v>0</v>
      </c>
      <c r="R430" s="188">
        <v>0</v>
      </c>
      <c r="S430" s="188">
        <f t="shared" si="190"/>
        <v>0</v>
      </c>
      <c r="T430" s="188">
        <f>Q430</f>
        <v>0</v>
      </c>
      <c r="U430" s="188">
        <v>22512</v>
      </c>
      <c r="V430" s="190">
        <f t="shared" si="159"/>
        <v>27014.400000000001</v>
      </c>
      <c r="W430" s="188"/>
      <c r="X430" s="188">
        <v>59627</v>
      </c>
      <c r="Y430" s="188">
        <v>71000</v>
      </c>
      <c r="Z430" s="188">
        <f t="shared" si="184"/>
        <v>71000</v>
      </c>
      <c r="AA430" s="198">
        <v>61000</v>
      </c>
      <c r="AB430" s="198">
        <v>61000</v>
      </c>
      <c r="AC430" s="196"/>
      <c r="AD430" s="88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</row>
    <row r="431" spans="1:256" ht="30" customHeight="1" x14ac:dyDescent="0.25">
      <c r="A431" s="214">
        <v>846600.84</v>
      </c>
      <c r="B431" s="175" t="s">
        <v>183</v>
      </c>
      <c r="C431" s="194">
        <v>158000</v>
      </c>
      <c r="D431" s="187"/>
      <c r="E431" s="202">
        <v>129363</v>
      </c>
      <c r="F431" s="202">
        <v>132000</v>
      </c>
      <c r="G431" s="188">
        <v>129000</v>
      </c>
      <c r="H431" s="204">
        <f>98366-1500</f>
        <v>96866</v>
      </c>
      <c r="I431" s="188">
        <v>89889</v>
      </c>
      <c r="J431" s="189"/>
      <c r="K431" s="189">
        <f t="shared" si="174"/>
        <v>119852</v>
      </c>
      <c r="L431" s="189">
        <v>65334</v>
      </c>
      <c r="M431" s="189">
        <f t="shared" si="188"/>
        <v>46667.142857142855</v>
      </c>
      <c r="N431" s="188">
        <v>120000</v>
      </c>
      <c r="O431" s="188">
        <v>115300</v>
      </c>
      <c r="P431" s="188">
        <f t="shared" si="189"/>
        <v>112001.14285714286</v>
      </c>
      <c r="Q431" s="188">
        <v>140000</v>
      </c>
      <c r="R431" s="188">
        <v>89649</v>
      </c>
      <c r="S431" s="188">
        <f t="shared" si="190"/>
        <v>179298</v>
      </c>
      <c r="T431" s="188">
        <f>S431</f>
        <v>179298</v>
      </c>
      <c r="U431" s="188">
        <v>125507</v>
      </c>
      <c r="V431" s="190">
        <f t="shared" si="159"/>
        <v>150608.4</v>
      </c>
      <c r="W431" s="188">
        <v>179298</v>
      </c>
      <c r="X431" s="188">
        <v>135494</v>
      </c>
      <c r="Y431" s="188">
        <v>162000</v>
      </c>
      <c r="Z431" s="188">
        <f t="shared" si="184"/>
        <v>162000</v>
      </c>
      <c r="AA431" s="198">
        <v>164000</v>
      </c>
      <c r="AB431" s="198">
        <v>164000</v>
      </c>
      <c r="AC431" s="196"/>
      <c r="AD431" s="88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</row>
    <row r="432" spans="1:256" ht="30" customHeight="1" x14ac:dyDescent="0.25">
      <c r="A432" s="214">
        <v>846700.41</v>
      </c>
      <c r="B432" s="175" t="s">
        <v>184</v>
      </c>
      <c r="C432" s="194">
        <v>35000</v>
      </c>
      <c r="D432" s="187"/>
      <c r="E432" s="202">
        <v>65199</v>
      </c>
      <c r="F432" s="202">
        <v>32000</v>
      </c>
      <c r="G432" s="188">
        <v>38000</v>
      </c>
      <c r="H432" s="204">
        <v>28719</v>
      </c>
      <c r="I432" s="188">
        <v>28750</v>
      </c>
      <c r="J432" s="189"/>
      <c r="K432" s="189">
        <f t="shared" si="174"/>
        <v>38333.333333333336</v>
      </c>
      <c r="L432" s="189">
        <v>19160</v>
      </c>
      <c r="M432" s="189">
        <f t="shared" si="188"/>
        <v>13685.714285714286</v>
      </c>
      <c r="N432" s="188">
        <v>38333</v>
      </c>
      <c r="O432" s="188">
        <v>38000</v>
      </c>
      <c r="P432" s="188">
        <f t="shared" si="189"/>
        <v>32845.71428571429</v>
      </c>
      <c r="Q432" s="188">
        <f t="shared" si="160"/>
        <v>38000</v>
      </c>
      <c r="R432" s="188">
        <v>19140</v>
      </c>
      <c r="S432" s="188">
        <f t="shared" si="190"/>
        <v>38280</v>
      </c>
      <c r="T432" s="188">
        <f>S432</f>
        <v>38280</v>
      </c>
      <c r="U432" s="188">
        <v>28710</v>
      </c>
      <c r="V432" s="190">
        <f t="shared" ref="V432:V473" si="191">U432*12/10</f>
        <v>34452</v>
      </c>
      <c r="W432" s="188">
        <v>38280</v>
      </c>
      <c r="X432" s="188">
        <v>28212</v>
      </c>
      <c r="Y432" s="188">
        <v>33000</v>
      </c>
      <c r="Z432" s="188">
        <f t="shared" si="184"/>
        <v>33000</v>
      </c>
      <c r="AA432" s="198">
        <v>42000</v>
      </c>
      <c r="AB432" s="198">
        <v>42000</v>
      </c>
      <c r="AC432" s="196"/>
      <c r="AD432" s="88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</row>
    <row r="433" spans="1:256" ht="30" customHeight="1" x14ac:dyDescent="0.25">
      <c r="A433" s="214">
        <v>846700.78</v>
      </c>
      <c r="B433" s="175" t="s">
        <v>226</v>
      </c>
      <c r="C433" s="194">
        <v>5000</v>
      </c>
      <c r="D433" s="187"/>
      <c r="E433" s="202">
        <v>8226</v>
      </c>
      <c r="F433" s="202">
        <v>9000</v>
      </c>
      <c r="G433" s="188">
        <v>24000</v>
      </c>
      <c r="H433" s="204">
        <v>17625</v>
      </c>
      <c r="I433" s="188">
        <v>26852</v>
      </c>
      <c r="J433" s="189"/>
      <c r="K433" s="189">
        <f t="shared" si="174"/>
        <v>35802.666666666664</v>
      </c>
      <c r="L433" s="189">
        <v>14623</v>
      </c>
      <c r="M433" s="189">
        <f t="shared" si="188"/>
        <v>10445</v>
      </c>
      <c r="N433" s="188">
        <v>35000</v>
      </c>
      <c r="O433" s="188">
        <v>30000</v>
      </c>
      <c r="P433" s="188">
        <f t="shared" si="189"/>
        <v>25068</v>
      </c>
      <c r="Q433" s="188">
        <f t="shared" si="160"/>
        <v>30000</v>
      </c>
      <c r="R433" s="188">
        <v>7029</v>
      </c>
      <c r="S433" s="188">
        <f>R433*2+5000</f>
        <v>19058</v>
      </c>
      <c r="T433" s="188">
        <v>25000</v>
      </c>
      <c r="U433" s="188">
        <v>22039</v>
      </c>
      <c r="V433" s="190">
        <f t="shared" si="191"/>
        <v>26446.799999999999</v>
      </c>
      <c r="W433" s="188"/>
      <c r="X433" s="188">
        <v>2589</v>
      </c>
      <c r="Y433" s="188">
        <v>3000</v>
      </c>
      <c r="Z433" s="188">
        <f t="shared" si="184"/>
        <v>3000</v>
      </c>
      <c r="AA433" s="198">
        <v>2000</v>
      </c>
      <c r="AB433" s="198">
        <v>2000</v>
      </c>
      <c r="AC433" s="196"/>
      <c r="AD433" s="88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</row>
    <row r="434" spans="1:256" ht="30" customHeight="1" x14ac:dyDescent="0.25">
      <c r="A434" s="214">
        <v>846700.84</v>
      </c>
      <c r="B434" s="175" t="s">
        <v>185</v>
      </c>
      <c r="C434" s="194">
        <v>220000</v>
      </c>
      <c r="D434" s="187"/>
      <c r="E434" s="202">
        <v>215281</v>
      </c>
      <c r="F434" s="202">
        <v>207000</v>
      </c>
      <c r="G434" s="188">
        <v>593392</v>
      </c>
      <c r="H434" s="204">
        <v>509648</v>
      </c>
      <c r="I434" s="188">
        <v>327959</v>
      </c>
      <c r="J434" s="189"/>
      <c r="K434" s="189">
        <f t="shared" si="174"/>
        <v>437278.66666666669</v>
      </c>
      <c r="L434" s="189">
        <v>315220</v>
      </c>
      <c r="M434" s="189">
        <f t="shared" si="188"/>
        <v>225157.14285714287</v>
      </c>
      <c r="N434" s="188">
        <v>438000</v>
      </c>
      <c r="O434" s="188">
        <v>509800</v>
      </c>
      <c r="P434" s="188">
        <f t="shared" si="189"/>
        <v>540377.14285714284</v>
      </c>
      <c r="Q434" s="188">
        <v>709800</v>
      </c>
      <c r="R434" s="188">
        <v>408775</v>
      </c>
      <c r="S434" s="188">
        <f t="shared" si="190"/>
        <v>817550</v>
      </c>
      <c r="T434" s="188">
        <f>S434</f>
        <v>817550</v>
      </c>
      <c r="U434" s="188">
        <v>651971</v>
      </c>
      <c r="V434" s="190">
        <f t="shared" si="191"/>
        <v>782365.2</v>
      </c>
      <c r="W434" s="188">
        <v>972000</v>
      </c>
      <c r="X434" s="188">
        <v>278548</v>
      </c>
      <c r="Y434" s="188">
        <v>334000</v>
      </c>
      <c r="Z434" s="188">
        <f t="shared" si="184"/>
        <v>334000</v>
      </c>
      <c r="AA434" s="198">
        <v>613000</v>
      </c>
      <c r="AB434" s="198">
        <v>500000</v>
      </c>
      <c r="AC434" s="196"/>
      <c r="AD434" s="88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</row>
    <row r="435" spans="1:256" ht="30" customHeight="1" x14ac:dyDescent="0.25">
      <c r="A435" s="214">
        <v>846701.84</v>
      </c>
      <c r="B435" s="175" t="s">
        <v>714</v>
      </c>
      <c r="C435" s="194"/>
      <c r="D435" s="187"/>
      <c r="E435" s="202"/>
      <c r="F435" s="202"/>
      <c r="G435" s="188"/>
      <c r="H435" s="204"/>
      <c r="I435" s="188"/>
      <c r="J435" s="189"/>
      <c r="K435" s="189"/>
      <c r="L435" s="189"/>
      <c r="M435" s="189"/>
      <c r="N435" s="188"/>
      <c r="O435" s="188"/>
      <c r="P435" s="188"/>
      <c r="Q435" s="188"/>
      <c r="R435" s="188"/>
      <c r="S435" s="188"/>
      <c r="T435" s="188"/>
      <c r="U435" s="188"/>
      <c r="V435" s="190"/>
      <c r="W435" s="188"/>
      <c r="X435" s="188"/>
      <c r="Y435" s="188"/>
      <c r="Z435" s="188"/>
      <c r="AA435" s="198"/>
      <c r="AB435" s="198">
        <v>252000</v>
      </c>
      <c r="AC435" s="196"/>
      <c r="AD435" s="88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</row>
    <row r="436" spans="1:256" ht="30" customHeight="1" x14ac:dyDescent="0.25">
      <c r="A436" s="214">
        <v>846800.41</v>
      </c>
      <c r="B436" s="175" t="s">
        <v>186</v>
      </c>
      <c r="C436" s="194">
        <v>45000</v>
      </c>
      <c r="D436" s="187"/>
      <c r="E436" s="202">
        <v>35219</v>
      </c>
      <c r="F436" s="202">
        <v>31000</v>
      </c>
      <c r="G436" s="188">
        <v>49000</v>
      </c>
      <c r="H436" s="204">
        <v>36856</v>
      </c>
      <c r="I436" s="188">
        <v>12528</v>
      </c>
      <c r="J436" s="189"/>
      <c r="K436" s="189">
        <f t="shared" si="174"/>
        <v>16704</v>
      </c>
      <c r="L436" s="189">
        <v>52189</v>
      </c>
      <c r="M436" s="189">
        <f t="shared" si="188"/>
        <v>37277.857142857145</v>
      </c>
      <c r="N436" s="188">
        <v>50112</v>
      </c>
      <c r="O436" s="188">
        <v>50900</v>
      </c>
      <c r="P436" s="188">
        <f t="shared" si="189"/>
        <v>89466.857142857145</v>
      </c>
      <c r="Q436" s="188">
        <f t="shared" si="160"/>
        <v>50900</v>
      </c>
      <c r="R436" s="188">
        <v>8544</v>
      </c>
      <c r="S436" s="188">
        <v>50900</v>
      </c>
      <c r="T436" s="188">
        <f>Q436</f>
        <v>50900</v>
      </c>
      <c r="U436" s="188">
        <v>8544</v>
      </c>
      <c r="V436" s="190">
        <f t="shared" si="191"/>
        <v>10252.799999999999</v>
      </c>
      <c r="W436" s="188">
        <v>51000</v>
      </c>
      <c r="X436" s="188">
        <v>67402</v>
      </c>
      <c r="Y436" s="188">
        <v>80000</v>
      </c>
      <c r="Z436" s="188">
        <f t="shared" si="184"/>
        <v>80000</v>
      </c>
      <c r="AA436" s="198">
        <v>18000</v>
      </c>
      <c r="AB436" s="198">
        <v>18000</v>
      </c>
      <c r="AC436" s="196"/>
      <c r="AD436" s="88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</row>
    <row r="437" spans="1:256" ht="30" customHeight="1" x14ac:dyDescent="0.25">
      <c r="A437" s="214">
        <v>846800.54</v>
      </c>
      <c r="B437" s="175" t="s">
        <v>187</v>
      </c>
      <c r="C437" s="194">
        <v>5000</v>
      </c>
      <c r="D437" s="187"/>
      <c r="E437" s="202">
        <v>8943</v>
      </c>
      <c r="F437" s="202">
        <v>10000</v>
      </c>
      <c r="G437" s="188">
        <v>12000</v>
      </c>
      <c r="H437" s="204">
        <v>8890</v>
      </c>
      <c r="I437" s="188">
        <v>0</v>
      </c>
      <c r="J437" s="189"/>
      <c r="K437" s="189">
        <f t="shared" si="174"/>
        <v>0</v>
      </c>
      <c r="L437" s="189">
        <v>327</v>
      </c>
      <c r="M437" s="189">
        <f t="shared" si="188"/>
        <v>233.57142857142858</v>
      </c>
      <c r="N437" s="188">
        <v>2000</v>
      </c>
      <c r="O437" s="188">
        <v>1000</v>
      </c>
      <c r="P437" s="188">
        <f t="shared" si="189"/>
        <v>560.57142857142856</v>
      </c>
      <c r="Q437" s="188">
        <f t="shared" si="160"/>
        <v>1000</v>
      </c>
      <c r="R437" s="188">
        <v>2547</v>
      </c>
      <c r="S437" s="188">
        <f t="shared" si="190"/>
        <v>5094</v>
      </c>
      <c r="T437" s="188">
        <f>S437</f>
        <v>5094</v>
      </c>
      <c r="U437" s="188">
        <v>4556</v>
      </c>
      <c r="V437" s="190">
        <f t="shared" si="191"/>
        <v>5467.2</v>
      </c>
      <c r="W437" s="188">
        <v>6000</v>
      </c>
      <c r="X437" s="188">
        <v>1173</v>
      </c>
      <c r="Y437" s="188">
        <v>1500</v>
      </c>
      <c r="Z437" s="188">
        <f t="shared" si="184"/>
        <v>1500</v>
      </c>
      <c r="AA437" s="198">
        <v>4000</v>
      </c>
      <c r="AB437" s="198">
        <v>4000</v>
      </c>
      <c r="AC437" s="196"/>
      <c r="AD437" s="88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</row>
    <row r="438" spans="1:256" ht="30" customHeight="1" x14ac:dyDescent="0.25">
      <c r="A438" s="214">
        <v>846800.43099999998</v>
      </c>
      <c r="B438" s="175" t="s">
        <v>254</v>
      </c>
      <c r="C438" s="194">
        <v>2000</v>
      </c>
      <c r="D438" s="187"/>
      <c r="E438" s="202">
        <v>1284</v>
      </c>
      <c r="F438" s="202">
        <v>2000</v>
      </c>
      <c r="G438" s="188">
        <v>1000</v>
      </c>
      <c r="H438" s="204">
        <v>560</v>
      </c>
      <c r="I438" s="188">
        <v>570</v>
      </c>
      <c r="J438" s="189"/>
      <c r="K438" s="189">
        <f t="shared" si="174"/>
        <v>760</v>
      </c>
      <c r="L438" s="189">
        <v>0</v>
      </c>
      <c r="M438" s="189">
        <f t="shared" si="188"/>
        <v>0</v>
      </c>
      <c r="N438" s="188">
        <v>1000</v>
      </c>
      <c r="O438" s="188">
        <f>M438+L438</f>
        <v>0</v>
      </c>
      <c r="P438" s="188">
        <f t="shared" si="189"/>
        <v>0</v>
      </c>
      <c r="Q438" s="188">
        <f t="shared" si="160"/>
        <v>0</v>
      </c>
      <c r="R438" s="188">
        <v>257</v>
      </c>
      <c r="S438" s="188">
        <f t="shared" si="190"/>
        <v>514</v>
      </c>
      <c r="T438" s="188">
        <f>S438</f>
        <v>514</v>
      </c>
      <c r="U438" s="188">
        <v>451</v>
      </c>
      <c r="V438" s="190">
        <f t="shared" si="191"/>
        <v>541.20000000000005</v>
      </c>
      <c r="W438" s="188">
        <v>1200</v>
      </c>
      <c r="X438" s="188">
        <v>659</v>
      </c>
      <c r="Y438" s="188">
        <v>1000</v>
      </c>
      <c r="Z438" s="188">
        <f t="shared" si="184"/>
        <v>1000</v>
      </c>
      <c r="AA438" s="198"/>
      <c r="AB438" s="198"/>
      <c r="AC438" s="196"/>
      <c r="AD438" s="88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</row>
    <row r="439" spans="1:256" ht="30" customHeight="1" x14ac:dyDescent="0.25">
      <c r="A439" s="214">
        <v>846800.84</v>
      </c>
      <c r="B439" s="175" t="s">
        <v>188</v>
      </c>
      <c r="C439" s="202">
        <v>70000</v>
      </c>
      <c r="D439" s="187"/>
      <c r="E439" s="202">
        <v>84106</v>
      </c>
      <c r="F439" s="202">
        <v>83000</v>
      </c>
      <c r="G439" s="188">
        <v>127000</v>
      </c>
      <c r="H439" s="204">
        <v>95286</v>
      </c>
      <c r="I439" s="188">
        <v>130852</v>
      </c>
      <c r="J439" s="189"/>
      <c r="K439" s="189">
        <f t="shared" si="174"/>
        <v>174469.33333333334</v>
      </c>
      <c r="L439" s="189">
        <v>91963</v>
      </c>
      <c r="M439" s="189">
        <f t="shared" si="188"/>
        <v>65687.857142857145</v>
      </c>
      <c r="N439" s="188">
        <v>174000</v>
      </c>
      <c r="O439" s="188">
        <v>136800</v>
      </c>
      <c r="P439" s="188">
        <f t="shared" si="189"/>
        <v>157650.85714285716</v>
      </c>
      <c r="Q439" s="188">
        <f t="shared" si="160"/>
        <v>136800</v>
      </c>
      <c r="R439" s="188">
        <v>39175</v>
      </c>
      <c r="S439" s="188">
        <f>R439*2+35000</f>
        <v>113350</v>
      </c>
      <c r="T439" s="188">
        <f>Q439-15000-7616</f>
        <v>114184</v>
      </c>
      <c r="U439" s="188">
        <v>54148</v>
      </c>
      <c r="V439" s="190">
        <f t="shared" si="191"/>
        <v>64977.599999999999</v>
      </c>
      <c r="W439" s="188">
        <v>121000</v>
      </c>
      <c r="X439" s="188">
        <v>109490</v>
      </c>
      <c r="Y439" s="188">
        <v>131000</v>
      </c>
      <c r="Z439" s="188">
        <f t="shared" si="184"/>
        <v>131000</v>
      </c>
      <c r="AA439" s="198">
        <v>133000</v>
      </c>
      <c r="AB439" s="198">
        <v>133000</v>
      </c>
      <c r="AC439" s="196"/>
      <c r="AD439" s="88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</row>
    <row r="440" spans="1:256" ht="30" customHeight="1" x14ac:dyDescent="0.25">
      <c r="A440" s="222"/>
      <c r="B440" s="275" t="s">
        <v>189</v>
      </c>
      <c r="C440" s="211">
        <f t="shared" ref="C440:AC440" si="192">SUM(C428:C439)</f>
        <v>750000</v>
      </c>
      <c r="D440" s="211">
        <f t="shared" si="192"/>
        <v>0</v>
      </c>
      <c r="E440" s="211">
        <f t="shared" si="192"/>
        <v>558726</v>
      </c>
      <c r="F440" s="211">
        <f t="shared" si="192"/>
        <v>522000</v>
      </c>
      <c r="G440" s="212">
        <f t="shared" si="192"/>
        <v>981392</v>
      </c>
      <c r="H440" s="212">
        <f t="shared" si="192"/>
        <v>800651</v>
      </c>
      <c r="I440" s="212">
        <f t="shared" si="192"/>
        <v>621234</v>
      </c>
      <c r="J440" s="213">
        <f t="shared" si="192"/>
        <v>0</v>
      </c>
      <c r="K440" s="213">
        <f t="shared" si="192"/>
        <v>828312.00000000012</v>
      </c>
      <c r="L440" s="213">
        <f t="shared" si="192"/>
        <v>589302</v>
      </c>
      <c r="M440" s="213">
        <f t="shared" si="192"/>
        <v>420930.00000000006</v>
      </c>
      <c r="N440" s="212">
        <f t="shared" si="192"/>
        <v>864445</v>
      </c>
      <c r="O440" s="212">
        <f t="shared" si="192"/>
        <v>922700</v>
      </c>
      <c r="P440" s="212">
        <f t="shared" si="192"/>
        <v>1010232.0000000001</v>
      </c>
      <c r="Q440" s="212">
        <f t="shared" si="192"/>
        <v>1147400</v>
      </c>
      <c r="R440" s="212">
        <f t="shared" si="192"/>
        <v>592486</v>
      </c>
      <c r="S440" s="212">
        <f t="shared" si="192"/>
        <v>1258784</v>
      </c>
      <c r="T440" s="212">
        <f t="shared" si="192"/>
        <v>1271720</v>
      </c>
      <c r="U440" s="212">
        <f t="shared" si="192"/>
        <v>940896</v>
      </c>
      <c r="V440" s="212">
        <f t="shared" si="192"/>
        <v>1129075.2</v>
      </c>
      <c r="W440" s="212">
        <f t="shared" si="192"/>
        <v>1368778</v>
      </c>
      <c r="X440" s="212">
        <f t="shared" si="192"/>
        <v>699492</v>
      </c>
      <c r="Y440" s="212">
        <f t="shared" si="192"/>
        <v>835500</v>
      </c>
      <c r="Z440" s="212">
        <f t="shared" si="192"/>
        <v>835500</v>
      </c>
      <c r="AA440" s="211">
        <f t="shared" si="192"/>
        <v>1060000</v>
      </c>
      <c r="AB440" s="211">
        <f t="shared" si="192"/>
        <v>1199000</v>
      </c>
      <c r="AC440" s="212">
        <f t="shared" si="192"/>
        <v>0</v>
      </c>
      <c r="AD440" s="88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</row>
    <row r="441" spans="1:256" ht="30" customHeight="1" x14ac:dyDescent="0.25">
      <c r="A441" s="214">
        <v>847100.78</v>
      </c>
      <c r="B441" s="175" t="s">
        <v>522</v>
      </c>
      <c r="C441" s="194">
        <v>30000</v>
      </c>
      <c r="D441" s="187"/>
      <c r="E441" s="202">
        <v>75461</v>
      </c>
      <c r="F441" s="194">
        <v>83000</v>
      </c>
      <c r="G441" s="188">
        <v>93000</v>
      </c>
      <c r="H441" s="195">
        <v>69951</v>
      </c>
      <c r="I441" s="188">
        <v>47298</v>
      </c>
      <c r="J441" s="189"/>
      <c r="K441" s="189">
        <f t="shared" si="174"/>
        <v>63064</v>
      </c>
      <c r="L441" s="189">
        <v>74482</v>
      </c>
      <c r="M441" s="189">
        <f>L441/7*5</f>
        <v>53201.428571428565</v>
      </c>
      <c r="N441" s="188">
        <v>65000</v>
      </c>
      <c r="O441" s="188">
        <v>79800</v>
      </c>
      <c r="P441" s="188">
        <f>L441+M441</f>
        <v>127683.42857142857</v>
      </c>
      <c r="Q441" s="188">
        <v>250000</v>
      </c>
      <c r="R441" s="188">
        <v>45166</v>
      </c>
      <c r="S441" s="188">
        <f>R441*2+120000</f>
        <v>210332</v>
      </c>
      <c r="T441" s="188">
        <v>212000</v>
      </c>
      <c r="U441" s="188">
        <v>165084</v>
      </c>
      <c r="V441" s="190">
        <f t="shared" si="191"/>
        <v>198100.8</v>
      </c>
      <c r="W441" s="188">
        <v>288000</v>
      </c>
      <c r="X441" s="188">
        <v>99384</v>
      </c>
      <c r="Y441" s="188">
        <v>119000</v>
      </c>
      <c r="Z441" s="188">
        <f t="shared" si="184"/>
        <v>119000</v>
      </c>
      <c r="AA441" s="198">
        <v>117000</v>
      </c>
      <c r="AB441" s="198">
        <v>117000</v>
      </c>
      <c r="AC441" s="196"/>
      <c r="AD441" s="88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</row>
    <row r="442" spans="1:256" ht="30" customHeight="1" x14ac:dyDescent="0.25">
      <c r="A442" s="214">
        <v>847100.84</v>
      </c>
      <c r="B442" s="175" t="s">
        <v>650</v>
      </c>
      <c r="C442" s="194">
        <v>5000</v>
      </c>
      <c r="D442" s="187"/>
      <c r="E442" s="202">
        <v>1000</v>
      </c>
      <c r="F442" s="194">
        <v>1000</v>
      </c>
      <c r="G442" s="188">
        <v>1000</v>
      </c>
      <c r="H442" s="195">
        <v>0</v>
      </c>
      <c r="I442" s="188">
        <v>0</v>
      </c>
      <c r="J442" s="189"/>
      <c r="K442" s="189">
        <f t="shared" si="174"/>
        <v>0</v>
      </c>
      <c r="L442" s="189">
        <v>67289</v>
      </c>
      <c r="M442" s="189">
        <f t="shared" ref="M442:M454" si="193">L442/7*5</f>
        <v>48063.571428571435</v>
      </c>
      <c r="N442" s="188">
        <v>1000</v>
      </c>
      <c r="O442" s="188">
        <v>130100</v>
      </c>
      <c r="P442" s="188">
        <f>L442+M442</f>
        <v>115352.57142857143</v>
      </c>
      <c r="Q442" s="188">
        <v>180000</v>
      </c>
      <c r="R442" s="188">
        <v>140482</v>
      </c>
      <c r="S442" s="188">
        <f t="shared" ref="S442:S447" si="194">R442*2</f>
        <v>280964</v>
      </c>
      <c r="T442" s="188">
        <f>S442</f>
        <v>280964</v>
      </c>
      <c r="U442" s="188">
        <v>221486</v>
      </c>
      <c r="V442" s="190">
        <f t="shared" si="191"/>
        <v>265783.2</v>
      </c>
      <c r="W442" s="188">
        <v>114000</v>
      </c>
      <c r="X442" s="188">
        <v>290010</v>
      </c>
      <c r="Y442" s="188">
        <v>348000</v>
      </c>
      <c r="Z442" s="188">
        <f t="shared" si="184"/>
        <v>348000</v>
      </c>
      <c r="AA442" s="198">
        <v>278000</v>
      </c>
      <c r="AB442" s="198">
        <v>278000</v>
      </c>
      <c r="AC442" s="196"/>
      <c r="AD442" s="88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</row>
    <row r="443" spans="1:256" ht="30" customHeight="1" x14ac:dyDescent="0.25">
      <c r="A443" s="193">
        <v>847300.11</v>
      </c>
      <c r="B443" s="281" t="s">
        <v>190</v>
      </c>
      <c r="C443" s="202">
        <v>320000</v>
      </c>
      <c r="D443" s="203"/>
      <c r="E443" s="202">
        <v>348000</v>
      </c>
      <c r="F443" s="202">
        <v>347000</v>
      </c>
      <c r="G443" s="189">
        <v>342055</v>
      </c>
      <c r="H443" s="204">
        <v>250279</v>
      </c>
      <c r="I443" s="189">
        <v>265992</v>
      </c>
      <c r="J443" s="189"/>
      <c r="K443" s="189">
        <f t="shared" si="174"/>
        <v>354656</v>
      </c>
      <c r="L443" s="189">
        <v>272011</v>
      </c>
      <c r="M443" s="189">
        <f t="shared" si="193"/>
        <v>194293.57142857142</v>
      </c>
      <c r="N443" s="190">
        <v>351816</v>
      </c>
      <c r="O443" s="190">
        <v>448600</v>
      </c>
      <c r="P443" s="190">
        <f>M443+L443</f>
        <v>466304.57142857142</v>
      </c>
      <c r="Q443" s="190">
        <f>O443*1.045</f>
        <v>468786.99999999994</v>
      </c>
      <c r="R443" s="190">
        <f>245464*0.99</f>
        <v>243009.36</v>
      </c>
      <c r="S443" s="190">
        <f t="shared" si="194"/>
        <v>486018.72</v>
      </c>
      <c r="T443" s="190">
        <f>S443</f>
        <v>486018.72</v>
      </c>
      <c r="U443" s="190">
        <v>400228</v>
      </c>
      <c r="V443" s="190">
        <f t="shared" si="191"/>
        <v>480273.6</v>
      </c>
      <c r="W443" s="190">
        <v>486109</v>
      </c>
      <c r="X443" s="190">
        <v>414570</v>
      </c>
      <c r="Y443" s="190">
        <v>497000</v>
      </c>
      <c r="Z443" s="190">
        <v>493000</v>
      </c>
      <c r="AA443" s="191">
        <v>499000</v>
      </c>
      <c r="AB443" s="191">
        <v>504000</v>
      </c>
      <c r="AC443" s="196">
        <v>3.4</v>
      </c>
      <c r="AD443" s="88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</row>
    <row r="444" spans="1:256" ht="30" customHeight="1" x14ac:dyDescent="0.25">
      <c r="A444" s="197">
        <v>847300.54</v>
      </c>
      <c r="B444" s="281" t="s">
        <v>191</v>
      </c>
      <c r="C444" s="202">
        <v>3000</v>
      </c>
      <c r="D444" s="203"/>
      <c r="E444" s="202">
        <v>2320</v>
      </c>
      <c r="F444" s="202">
        <v>2000</v>
      </c>
      <c r="G444" s="189">
        <v>2000</v>
      </c>
      <c r="H444" s="204">
        <v>1380</v>
      </c>
      <c r="I444" s="189">
        <v>1692</v>
      </c>
      <c r="J444" s="189"/>
      <c r="K444" s="189">
        <f t="shared" si="174"/>
        <v>2256</v>
      </c>
      <c r="L444" s="189">
        <v>1202</v>
      </c>
      <c r="M444" s="189">
        <f t="shared" si="193"/>
        <v>858.57142857142867</v>
      </c>
      <c r="N444" s="189">
        <v>2500</v>
      </c>
      <c r="O444" s="189">
        <v>1800</v>
      </c>
      <c r="P444" s="188">
        <f>L444+M444</f>
        <v>2060.5714285714284</v>
      </c>
      <c r="Q444" s="188">
        <f>O444</f>
        <v>1800</v>
      </c>
      <c r="R444" s="188">
        <v>583</v>
      </c>
      <c r="S444" s="188">
        <f t="shared" si="194"/>
        <v>1166</v>
      </c>
      <c r="T444" s="188">
        <f>Q444</f>
        <v>1800</v>
      </c>
      <c r="U444" s="188">
        <v>1084</v>
      </c>
      <c r="V444" s="190">
        <f t="shared" si="191"/>
        <v>1300.8</v>
      </c>
      <c r="W444" s="188">
        <v>1800</v>
      </c>
      <c r="X444" s="188">
        <v>1038</v>
      </c>
      <c r="Y444" s="188">
        <v>1500</v>
      </c>
      <c r="Z444" s="188">
        <f t="shared" si="184"/>
        <v>1500</v>
      </c>
      <c r="AA444" s="198">
        <v>1000</v>
      </c>
      <c r="AB444" s="198">
        <v>1000</v>
      </c>
      <c r="AC444" s="196"/>
      <c r="AD444" s="88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</row>
    <row r="445" spans="1:256" ht="30" customHeight="1" x14ac:dyDescent="0.25">
      <c r="A445" s="197">
        <v>847300.55</v>
      </c>
      <c r="B445" s="281" t="s">
        <v>192</v>
      </c>
      <c r="C445" s="202">
        <v>60000</v>
      </c>
      <c r="D445" s="203"/>
      <c r="E445" s="202">
        <v>97118</v>
      </c>
      <c r="F445" s="202">
        <v>51000</v>
      </c>
      <c r="G445" s="189">
        <f>34000+26000</f>
        <v>60000</v>
      </c>
      <c r="H445" s="204">
        <v>25406</v>
      </c>
      <c r="I445" s="189">
        <v>41650</v>
      </c>
      <c r="J445" s="189"/>
      <c r="K445" s="189">
        <f t="shared" si="174"/>
        <v>55533.333333333336</v>
      </c>
      <c r="L445" s="189">
        <v>47220</v>
      </c>
      <c r="M445" s="189">
        <f t="shared" si="193"/>
        <v>33728.571428571428</v>
      </c>
      <c r="N445" s="189">
        <v>56000</v>
      </c>
      <c r="O445" s="189">
        <v>56000</v>
      </c>
      <c r="P445" s="188">
        <f>L445+M445</f>
        <v>80948.57142857142</v>
      </c>
      <c r="Q445" s="188">
        <f>O445</f>
        <v>56000</v>
      </c>
      <c r="R445" s="188">
        <v>28650</v>
      </c>
      <c r="S445" s="188">
        <f t="shared" si="194"/>
        <v>57300</v>
      </c>
      <c r="T445" s="188">
        <f>S445</f>
        <v>57300</v>
      </c>
      <c r="U445" s="188">
        <v>50768</v>
      </c>
      <c r="V445" s="190">
        <f t="shared" si="191"/>
        <v>60921.599999999999</v>
      </c>
      <c r="W445" s="188">
        <v>120000</v>
      </c>
      <c r="X445" s="188">
        <v>56389</v>
      </c>
      <c r="Y445" s="188">
        <v>67000</v>
      </c>
      <c r="Z445" s="188">
        <f t="shared" si="184"/>
        <v>67000</v>
      </c>
      <c r="AA445" s="198">
        <v>73000</v>
      </c>
      <c r="AB445" s="198">
        <v>73000</v>
      </c>
      <c r="AC445" s="196"/>
      <c r="AD445" s="88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</row>
    <row r="446" spans="1:256" ht="30" customHeight="1" x14ac:dyDescent="0.25">
      <c r="A446" s="197">
        <v>847300.75</v>
      </c>
      <c r="B446" s="281" t="s">
        <v>252</v>
      </c>
      <c r="C446" s="202"/>
      <c r="D446" s="203"/>
      <c r="E446" s="202"/>
      <c r="F446" s="202"/>
      <c r="G446" s="189">
        <v>0</v>
      </c>
      <c r="H446" s="204"/>
      <c r="I446" s="189">
        <v>0</v>
      </c>
      <c r="J446" s="189"/>
      <c r="K446" s="189">
        <v>0</v>
      </c>
      <c r="L446" s="189">
        <v>137697</v>
      </c>
      <c r="M446" s="189">
        <v>0</v>
      </c>
      <c r="N446" s="189">
        <v>150000</v>
      </c>
      <c r="O446" s="189">
        <v>150000</v>
      </c>
      <c r="P446" s="188">
        <f>L446+M446</f>
        <v>137697</v>
      </c>
      <c r="Q446" s="188">
        <v>85000</v>
      </c>
      <c r="R446" s="188">
        <v>36936</v>
      </c>
      <c r="S446" s="188">
        <f t="shared" si="194"/>
        <v>73872</v>
      </c>
      <c r="T446" s="188">
        <v>75000</v>
      </c>
      <c r="U446" s="188">
        <v>49382</v>
      </c>
      <c r="V446" s="190">
        <f t="shared" si="191"/>
        <v>59258.400000000001</v>
      </c>
      <c r="W446" s="188">
        <v>19000</v>
      </c>
      <c r="X446" s="188">
        <v>6000</v>
      </c>
      <c r="Y446" s="188">
        <v>7000</v>
      </c>
      <c r="Z446" s="188">
        <f t="shared" si="184"/>
        <v>7000</v>
      </c>
      <c r="AA446" s="198"/>
      <c r="AB446" s="198"/>
      <c r="AC446" s="196"/>
      <c r="AD446" s="88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</row>
    <row r="447" spans="1:256" ht="30" customHeight="1" x14ac:dyDescent="0.25">
      <c r="A447" s="197">
        <v>847300.84</v>
      </c>
      <c r="B447" s="281" t="s">
        <v>674</v>
      </c>
      <c r="C447" s="202">
        <v>150000</v>
      </c>
      <c r="D447" s="203"/>
      <c r="E447" s="202">
        <v>223520</v>
      </c>
      <c r="F447" s="202">
        <v>227000</v>
      </c>
      <c r="G447" s="189">
        <v>158000</v>
      </c>
      <c r="H447" s="204">
        <v>166951</v>
      </c>
      <c r="I447" s="189">
        <v>52013</v>
      </c>
      <c r="J447" s="189"/>
      <c r="K447" s="189">
        <f t="shared" si="174"/>
        <v>69350.666666666672</v>
      </c>
      <c r="L447" s="189">
        <v>5648</v>
      </c>
      <c r="M447" s="189">
        <f t="shared" si="193"/>
        <v>4034.2857142857147</v>
      </c>
      <c r="N447" s="189">
        <v>70000</v>
      </c>
      <c r="O447" s="189">
        <v>51300</v>
      </c>
      <c r="P447" s="188">
        <f>L447+M447</f>
        <v>9682.2857142857138</v>
      </c>
      <c r="Q447" s="188">
        <f>O447</f>
        <v>51300</v>
      </c>
      <c r="R447" s="188">
        <v>47176</v>
      </c>
      <c r="S447" s="188">
        <f t="shared" si="194"/>
        <v>94352</v>
      </c>
      <c r="T447" s="188">
        <f>S447</f>
        <v>94352</v>
      </c>
      <c r="U447" s="188">
        <v>64227</v>
      </c>
      <c r="V447" s="190">
        <f t="shared" si="191"/>
        <v>77072.399999999994</v>
      </c>
      <c r="W447" s="188"/>
      <c r="X447" s="188">
        <v>38305</v>
      </c>
      <c r="Y447" s="188">
        <v>45000</v>
      </c>
      <c r="Z447" s="188">
        <f t="shared" si="184"/>
        <v>45000</v>
      </c>
      <c r="AA447" s="198">
        <v>20000</v>
      </c>
      <c r="AB447" s="198">
        <v>20000</v>
      </c>
      <c r="AC447" s="196"/>
      <c r="AD447" s="88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</row>
    <row r="448" spans="1:256" ht="30" customHeight="1" x14ac:dyDescent="0.25">
      <c r="A448" s="193">
        <v>847301.11</v>
      </c>
      <c r="B448" s="281" t="s">
        <v>449</v>
      </c>
      <c r="C448" s="202"/>
      <c r="D448" s="203"/>
      <c r="E448" s="202"/>
      <c r="F448" s="202"/>
      <c r="G448" s="189">
        <v>65000</v>
      </c>
      <c r="H448" s="204"/>
      <c r="I448" s="189">
        <v>52232</v>
      </c>
      <c r="J448" s="189"/>
      <c r="K448" s="189">
        <f t="shared" si="174"/>
        <v>69642.666666666672</v>
      </c>
      <c r="L448" s="189">
        <v>69377</v>
      </c>
      <c r="M448" s="189">
        <f t="shared" si="193"/>
        <v>49555</v>
      </c>
      <c r="N448" s="190">
        <v>76777</v>
      </c>
      <c r="O448" s="190">
        <v>120400</v>
      </c>
      <c r="P448" s="190">
        <f>M448+L448</f>
        <v>118932</v>
      </c>
      <c r="Q448" s="190">
        <f>O448*1.045</f>
        <v>125817.99999999999</v>
      </c>
      <c r="R448" s="190">
        <f>83750*0.99</f>
        <v>82912.5</v>
      </c>
      <c r="S448" s="190">
        <f t="shared" ref="S448:S454" si="195">R448*2</f>
        <v>165825</v>
      </c>
      <c r="T448" s="190">
        <f>S448</f>
        <v>165825</v>
      </c>
      <c r="U448" s="190">
        <v>136450</v>
      </c>
      <c r="V448" s="190">
        <f t="shared" si="191"/>
        <v>163740</v>
      </c>
      <c r="W448" s="190">
        <v>183000</v>
      </c>
      <c r="X448" s="190">
        <v>147052</v>
      </c>
      <c r="Y448" s="190">
        <v>176000</v>
      </c>
      <c r="Z448" s="190">
        <v>164000</v>
      </c>
      <c r="AA448" s="191">
        <v>173000</v>
      </c>
      <c r="AB448" s="191">
        <v>176000</v>
      </c>
      <c r="AC448" s="196">
        <v>1</v>
      </c>
      <c r="AD448" s="88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</row>
    <row r="449" spans="1:256" ht="30" customHeight="1" x14ac:dyDescent="0.25">
      <c r="A449" s="193">
        <v>847400.11</v>
      </c>
      <c r="B449" s="281" t="s">
        <v>193</v>
      </c>
      <c r="C449" s="202">
        <v>630000</v>
      </c>
      <c r="D449" s="203"/>
      <c r="E449" s="202">
        <v>647604</v>
      </c>
      <c r="F449" s="202">
        <v>650000</v>
      </c>
      <c r="G449" s="189">
        <v>819655</v>
      </c>
      <c r="H449" s="204">
        <v>547795</v>
      </c>
      <c r="I449" s="189">
        <v>605391</v>
      </c>
      <c r="J449" s="189"/>
      <c r="K449" s="189">
        <f t="shared" si="174"/>
        <v>807188</v>
      </c>
      <c r="L449" s="189">
        <v>671122</v>
      </c>
      <c r="M449" s="189">
        <f t="shared" si="193"/>
        <v>479372.85714285716</v>
      </c>
      <c r="N449" s="190">
        <v>926551</v>
      </c>
      <c r="O449" s="190">
        <v>1064300</v>
      </c>
      <c r="P449" s="190">
        <f>M449+L449</f>
        <v>1150494.8571428573</v>
      </c>
      <c r="Q449" s="190">
        <f>O449*1.045</f>
        <v>1112193.5</v>
      </c>
      <c r="R449" s="190">
        <f>562458*0.99</f>
        <v>556833.42000000004</v>
      </c>
      <c r="S449" s="190">
        <f t="shared" si="195"/>
        <v>1113666.8400000001</v>
      </c>
      <c r="T449" s="190">
        <f>S449</f>
        <v>1113666.8400000001</v>
      </c>
      <c r="U449" s="190">
        <v>913631</v>
      </c>
      <c r="V449" s="190">
        <f t="shared" si="191"/>
        <v>1096357.2</v>
      </c>
      <c r="W449" s="190">
        <v>1113667</v>
      </c>
      <c r="X449" s="190">
        <v>975173</v>
      </c>
      <c r="Y449" s="190">
        <v>1160000</v>
      </c>
      <c r="Z449" s="190">
        <v>1165000</v>
      </c>
      <c r="AA449" s="191">
        <v>1238000</v>
      </c>
      <c r="AB449" s="191">
        <v>1147000</v>
      </c>
      <c r="AC449" s="196">
        <v>9.0399999999999991</v>
      </c>
      <c r="AD449" s="88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</row>
    <row r="450" spans="1:256" ht="30" customHeight="1" x14ac:dyDescent="0.25">
      <c r="A450" s="197">
        <v>847400.41</v>
      </c>
      <c r="B450" s="281" t="s">
        <v>194</v>
      </c>
      <c r="C450" s="202">
        <v>85000</v>
      </c>
      <c r="D450" s="203"/>
      <c r="E450" s="202">
        <v>63616</v>
      </c>
      <c r="F450" s="202">
        <v>43000</v>
      </c>
      <c r="G450" s="189">
        <f>51000+25000</f>
        <v>76000</v>
      </c>
      <c r="H450" s="204">
        <v>38556</v>
      </c>
      <c r="I450" s="189">
        <v>53935</v>
      </c>
      <c r="J450" s="189"/>
      <c r="K450" s="189">
        <f t="shared" si="174"/>
        <v>71913.333333333328</v>
      </c>
      <c r="L450" s="189">
        <v>90697</v>
      </c>
      <c r="M450" s="189">
        <f t="shared" si="193"/>
        <v>64783.571428571435</v>
      </c>
      <c r="N450" s="189">
        <v>120000</v>
      </c>
      <c r="O450" s="189">
        <f>120700-5000</f>
        <v>115700</v>
      </c>
      <c r="P450" s="188">
        <f t="shared" ref="P450:P454" si="196">L450+M450</f>
        <v>155480.57142857142</v>
      </c>
      <c r="Q450" s="188">
        <f>O450</f>
        <v>115700</v>
      </c>
      <c r="R450" s="188">
        <v>35656</v>
      </c>
      <c r="S450" s="188">
        <v>115700</v>
      </c>
      <c r="T450" s="188">
        <f>Q450</f>
        <v>115700</v>
      </c>
      <c r="U450" s="188">
        <v>105916</v>
      </c>
      <c r="V450" s="190">
        <f t="shared" si="191"/>
        <v>127099.2</v>
      </c>
      <c r="W450" s="188">
        <v>115700</v>
      </c>
      <c r="X450" s="188">
        <v>104513</v>
      </c>
      <c r="Y450" s="188">
        <v>116000</v>
      </c>
      <c r="Z450" s="188">
        <f t="shared" ref="Z450:Z462" si="197">Y450</f>
        <v>116000</v>
      </c>
      <c r="AA450" s="198">
        <v>133000</v>
      </c>
      <c r="AB450" s="198">
        <v>133000</v>
      </c>
      <c r="AC450" s="196"/>
      <c r="AD450" s="88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</row>
    <row r="451" spans="1:256" ht="30" customHeight="1" x14ac:dyDescent="0.25">
      <c r="A451" s="197">
        <v>847400.54</v>
      </c>
      <c r="B451" s="281" t="s">
        <v>195</v>
      </c>
      <c r="C451" s="202">
        <v>1000</v>
      </c>
      <c r="D451" s="203"/>
      <c r="E451" s="202">
        <v>1476</v>
      </c>
      <c r="F451" s="202">
        <v>2000</v>
      </c>
      <c r="G451" s="189">
        <v>1000</v>
      </c>
      <c r="H451" s="204">
        <v>570</v>
      </c>
      <c r="I451" s="189">
        <v>584</v>
      </c>
      <c r="J451" s="189"/>
      <c r="K451" s="189">
        <f t="shared" si="174"/>
        <v>778.66666666666663</v>
      </c>
      <c r="L451" s="189">
        <v>2044</v>
      </c>
      <c r="M451" s="189">
        <f t="shared" si="193"/>
        <v>1460</v>
      </c>
      <c r="N451" s="189">
        <v>1000</v>
      </c>
      <c r="O451" s="189">
        <v>2200</v>
      </c>
      <c r="P451" s="188">
        <f t="shared" si="196"/>
        <v>3504</v>
      </c>
      <c r="Q451" s="188">
        <f>O451</f>
        <v>2200</v>
      </c>
      <c r="R451" s="188">
        <v>475</v>
      </c>
      <c r="S451" s="188">
        <f t="shared" si="195"/>
        <v>950</v>
      </c>
      <c r="T451" s="188">
        <f>Q451</f>
        <v>2200</v>
      </c>
      <c r="U451" s="188">
        <v>680</v>
      </c>
      <c r="V451" s="190">
        <f t="shared" si="191"/>
        <v>816</v>
      </c>
      <c r="W451" s="188">
        <v>1800</v>
      </c>
      <c r="X451" s="188">
        <v>797</v>
      </c>
      <c r="Y451" s="188">
        <v>1000</v>
      </c>
      <c r="Z451" s="188">
        <f t="shared" si="197"/>
        <v>1000</v>
      </c>
      <c r="AA451" s="198">
        <v>1000</v>
      </c>
      <c r="AB451" s="198">
        <v>1000</v>
      </c>
      <c r="AC451" s="196"/>
      <c r="AD451" s="88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</row>
    <row r="452" spans="1:256" ht="30" customHeight="1" x14ac:dyDescent="0.25">
      <c r="A452" s="197">
        <v>847400.56</v>
      </c>
      <c r="B452" s="281" t="s">
        <v>196</v>
      </c>
      <c r="C452" s="202">
        <v>2000</v>
      </c>
      <c r="D452" s="203"/>
      <c r="E452" s="202">
        <v>1000</v>
      </c>
      <c r="F452" s="202">
        <v>1000</v>
      </c>
      <c r="G452" s="189">
        <v>1000</v>
      </c>
      <c r="H452" s="204">
        <v>855</v>
      </c>
      <c r="I452" s="189">
        <v>1306</v>
      </c>
      <c r="J452" s="189"/>
      <c r="K452" s="189">
        <f t="shared" si="174"/>
        <v>1741.3333333333333</v>
      </c>
      <c r="L452" s="189">
        <v>1506</v>
      </c>
      <c r="M452" s="189">
        <f t="shared" si="193"/>
        <v>1075.7142857142858</v>
      </c>
      <c r="N452" s="189">
        <v>2000</v>
      </c>
      <c r="O452" s="189">
        <v>2000</v>
      </c>
      <c r="P452" s="188">
        <f t="shared" si="196"/>
        <v>2581.7142857142858</v>
      </c>
      <c r="Q452" s="188">
        <f>O452</f>
        <v>2000</v>
      </c>
      <c r="R452" s="188">
        <v>704</v>
      </c>
      <c r="S452" s="188">
        <f t="shared" si="195"/>
        <v>1408</v>
      </c>
      <c r="T452" s="188">
        <f>Q452</f>
        <v>2000</v>
      </c>
      <c r="U452" s="188">
        <v>1491</v>
      </c>
      <c r="V452" s="190">
        <f t="shared" si="191"/>
        <v>1789.2</v>
      </c>
      <c r="W452" s="188">
        <v>20000</v>
      </c>
      <c r="X452" s="188">
        <v>20000</v>
      </c>
      <c r="Y452" s="188">
        <f>X452*12/10</f>
        <v>24000</v>
      </c>
      <c r="Z452" s="188">
        <f t="shared" si="197"/>
        <v>24000</v>
      </c>
      <c r="AA452" s="198">
        <v>2000</v>
      </c>
      <c r="AB452" s="198">
        <v>2000</v>
      </c>
      <c r="AC452" s="196"/>
      <c r="AD452" s="88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</row>
    <row r="453" spans="1:256" ht="30" customHeight="1" x14ac:dyDescent="0.25">
      <c r="A453" s="197">
        <v>847400.72</v>
      </c>
      <c r="B453" s="281" t="s">
        <v>197</v>
      </c>
      <c r="C453" s="202">
        <v>100000</v>
      </c>
      <c r="D453" s="203"/>
      <c r="E453" s="202">
        <v>104449</v>
      </c>
      <c r="F453" s="202">
        <v>71000</v>
      </c>
      <c r="G453" s="189">
        <f>66000+50000</f>
        <v>116000</v>
      </c>
      <c r="H453" s="204">
        <v>79837</v>
      </c>
      <c r="I453" s="189">
        <v>71794</v>
      </c>
      <c r="J453" s="189"/>
      <c r="K453" s="189">
        <f t="shared" si="174"/>
        <v>95725.333333333328</v>
      </c>
      <c r="L453" s="189">
        <v>73614</v>
      </c>
      <c r="M453" s="189">
        <f t="shared" si="193"/>
        <v>52581.428571428565</v>
      </c>
      <c r="N453" s="189">
        <v>96000</v>
      </c>
      <c r="O453" s="189">
        <v>96700</v>
      </c>
      <c r="P453" s="188">
        <f t="shared" si="196"/>
        <v>126195.42857142857</v>
      </c>
      <c r="Q453" s="188">
        <f>O453</f>
        <v>96700</v>
      </c>
      <c r="R453" s="188">
        <v>29610</v>
      </c>
      <c r="S453" s="188">
        <f>R453*2+20000</f>
        <v>79220</v>
      </c>
      <c r="T453" s="188">
        <v>80000</v>
      </c>
      <c r="U453" s="188">
        <v>65744</v>
      </c>
      <c r="V453" s="190">
        <f t="shared" si="191"/>
        <v>78892.800000000003</v>
      </c>
      <c r="W453" s="188">
        <v>85000</v>
      </c>
      <c r="X453" s="188">
        <v>75197</v>
      </c>
      <c r="Y453" s="188">
        <v>90000</v>
      </c>
      <c r="Z453" s="188">
        <f t="shared" si="197"/>
        <v>90000</v>
      </c>
      <c r="AA453" s="198">
        <v>115000</v>
      </c>
      <c r="AB453" s="198">
        <v>115000</v>
      </c>
      <c r="AC453" s="196"/>
      <c r="AD453" s="88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</row>
    <row r="454" spans="1:256" ht="30" customHeight="1" x14ac:dyDescent="0.25">
      <c r="A454" s="214">
        <v>847400.78</v>
      </c>
      <c r="B454" s="175" t="s">
        <v>198</v>
      </c>
      <c r="C454" s="194">
        <v>155000</v>
      </c>
      <c r="D454" s="187"/>
      <c r="E454" s="202">
        <v>86605</v>
      </c>
      <c r="F454" s="194">
        <v>120000</v>
      </c>
      <c r="G454" s="188">
        <v>153000</v>
      </c>
      <c r="H454" s="195">
        <v>114371</v>
      </c>
      <c r="I454" s="188">
        <v>138230</v>
      </c>
      <c r="J454" s="189"/>
      <c r="K454" s="189">
        <f t="shared" si="174"/>
        <v>184306.66666666666</v>
      </c>
      <c r="L454" s="189">
        <v>164982</v>
      </c>
      <c r="M454" s="189">
        <f t="shared" si="193"/>
        <v>117844.28571428571</v>
      </c>
      <c r="N454" s="188">
        <v>165000</v>
      </c>
      <c r="O454" s="188">
        <v>165100</v>
      </c>
      <c r="P454" s="188">
        <f t="shared" si="196"/>
        <v>282826.28571428568</v>
      </c>
      <c r="Q454" s="188">
        <f>O454</f>
        <v>165100</v>
      </c>
      <c r="R454" s="188">
        <v>68841</v>
      </c>
      <c r="S454" s="188">
        <f t="shared" si="195"/>
        <v>137682</v>
      </c>
      <c r="T454" s="188">
        <v>140000</v>
      </c>
      <c r="U454" s="188">
        <v>105152</v>
      </c>
      <c r="V454" s="190">
        <f t="shared" si="191"/>
        <v>126182.39999999999</v>
      </c>
      <c r="W454" s="188">
        <v>70000</v>
      </c>
      <c r="X454" s="188">
        <v>75303</v>
      </c>
      <c r="Y454" s="188">
        <v>90000</v>
      </c>
      <c r="Z454" s="188">
        <f t="shared" si="197"/>
        <v>90000</v>
      </c>
      <c r="AA454" s="198">
        <v>144000</v>
      </c>
      <c r="AB454" s="198">
        <v>144000</v>
      </c>
      <c r="AC454" s="196"/>
      <c r="AD454" s="88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</row>
    <row r="455" spans="1:256" ht="30" customHeight="1" x14ac:dyDescent="0.25">
      <c r="A455" s="222"/>
      <c r="B455" s="275" t="s">
        <v>8</v>
      </c>
      <c r="C455" s="211">
        <f t="shared" ref="C455:AC455" si="198">SUM(C441:C454)</f>
        <v>1541000</v>
      </c>
      <c r="D455" s="211">
        <f t="shared" si="198"/>
        <v>0</v>
      </c>
      <c r="E455" s="211">
        <f t="shared" si="198"/>
        <v>1652169</v>
      </c>
      <c r="F455" s="211">
        <f t="shared" si="198"/>
        <v>1598000</v>
      </c>
      <c r="G455" s="212">
        <f t="shared" si="198"/>
        <v>1887710</v>
      </c>
      <c r="H455" s="212">
        <f t="shared" si="198"/>
        <v>1295951</v>
      </c>
      <c r="I455" s="212">
        <f t="shared" si="198"/>
        <v>1332117</v>
      </c>
      <c r="J455" s="213">
        <f t="shared" si="198"/>
        <v>0</v>
      </c>
      <c r="K455" s="213">
        <f t="shared" si="198"/>
        <v>1776155.9999999998</v>
      </c>
      <c r="L455" s="213">
        <f t="shared" si="198"/>
        <v>1678891</v>
      </c>
      <c r="M455" s="213">
        <f t="shared" si="198"/>
        <v>1100852.8571428573</v>
      </c>
      <c r="N455" s="212">
        <f t="shared" si="198"/>
        <v>2083644</v>
      </c>
      <c r="O455" s="212">
        <f t="shared" si="198"/>
        <v>2484000</v>
      </c>
      <c r="P455" s="212">
        <f t="shared" si="198"/>
        <v>2779743.8571428573</v>
      </c>
      <c r="Q455" s="212">
        <f t="shared" si="198"/>
        <v>2712598.5</v>
      </c>
      <c r="R455" s="212">
        <f t="shared" si="198"/>
        <v>1317034.28</v>
      </c>
      <c r="S455" s="212">
        <f t="shared" si="198"/>
        <v>2818456.56</v>
      </c>
      <c r="T455" s="212">
        <f t="shared" si="198"/>
        <v>2826826.56</v>
      </c>
      <c r="U455" s="212">
        <f t="shared" si="198"/>
        <v>2281323</v>
      </c>
      <c r="V455" s="212">
        <f t="shared" si="198"/>
        <v>2737587.6</v>
      </c>
      <c r="W455" s="212">
        <f t="shared" si="198"/>
        <v>2618076</v>
      </c>
      <c r="X455" s="212">
        <f t="shared" si="198"/>
        <v>2303731</v>
      </c>
      <c r="Y455" s="212">
        <f t="shared" si="198"/>
        <v>2741500</v>
      </c>
      <c r="Z455" s="212">
        <f t="shared" si="198"/>
        <v>2730500</v>
      </c>
      <c r="AA455" s="211">
        <f t="shared" si="198"/>
        <v>2794000</v>
      </c>
      <c r="AB455" s="211">
        <f t="shared" si="198"/>
        <v>2711000</v>
      </c>
      <c r="AC455" s="212">
        <f t="shared" si="198"/>
        <v>13.44</v>
      </c>
      <c r="AD455" s="88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</row>
    <row r="456" spans="1:256" s="50" customFormat="1" ht="30" customHeight="1" x14ac:dyDescent="0.25">
      <c r="A456" s="214">
        <v>848200.78</v>
      </c>
      <c r="B456" s="175" t="s">
        <v>199</v>
      </c>
      <c r="C456" s="194">
        <v>25000</v>
      </c>
      <c r="D456" s="187">
        <v>39433</v>
      </c>
      <c r="E456" s="202">
        <v>47798</v>
      </c>
      <c r="F456" s="194">
        <v>45000</v>
      </c>
      <c r="G456" s="188">
        <v>54000</v>
      </c>
      <c r="H456" s="195">
        <v>39880</v>
      </c>
      <c r="I456" s="188">
        <v>44451</v>
      </c>
      <c r="J456" s="189">
        <v>44451</v>
      </c>
      <c r="K456" s="189">
        <f>I456*4/3</f>
        <v>59268</v>
      </c>
      <c r="L456" s="189">
        <v>25000</v>
      </c>
      <c r="M456" s="189">
        <v>25000</v>
      </c>
      <c r="N456" s="188">
        <v>54000</v>
      </c>
      <c r="O456" s="188">
        <v>54000</v>
      </c>
      <c r="P456" s="188">
        <f>L456+M456</f>
        <v>50000</v>
      </c>
      <c r="Q456" s="188">
        <f>O456</f>
        <v>54000</v>
      </c>
      <c r="R456" s="188">
        <v>0</v>
      </c>
      <c r="S456" s="188">
        <v>54000</v>
      </c>
      <c r="T456" s="188">
        <f>Q456</f>
        <v>54000</v>
      </c>
      <c r="U456" s="188">
        <v>4000</v>
      </c>
      <c r="V456" s="190">
        <f t="shared" si="191"/>
        <v>4800</v>
      </c>
      <c r="W456" s="188">
        <v>10000</v>
      </c>
      <c r="X456" s="188">
        <v>18600</v>
      </c>
      <c r="Y456" s="188">
        <v>22000</v>
      </c>
      <c r="Z456" s="188">
        <f t="shared" si="197"/>
        <v>22000</v>
      </c>
      <c r="AA456" s="198">
        <v>6000</v>
      </c>
      <c r="AB456" s="198">
        <v>6000</v>
      </c>
      <c r="AC456" s="196"/>
      <c r="AD456" s="89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66"/>
      <c r="AZ456" s="66"/>
      <c r="BA456" s="66"/>
      <c r="BB456" s="66"/>
      <c r="BC456" s="66"/>
      <c r="BD456" s="66"/>
      <c r="BE456" s="66"/>
      <c r="BF456" s="66"/>
      <c r="BG456" s="66"/>
      <c r="BH456" s="66"/>
      <c r="BI456" s="66"/>
      <c r="BJ456" s="66"/>
      <c r="BK456" s="66"/>
      <c r="BL456" s="66"/>
      <c r="BM456" s="66"/>
      <c r="BN456" s="66"/>
      <c r="BO456" s="66"/>
      <c r="BP456" s="66"/>
      <c r="BQ456" s="66"/>
      <c r="BR456" s="66"/>
      <c r="BS456" s="66"/>
      <c r="BT456" s="66"/>
      <c r="BU456" s="66"/>
      <c r="BV456" s="66"/>
      <c r="BW456" s="66"/>
      <c r="BX456" s="66"/>
      <c r="BY456" s="66"/>
      <c r="BZ456" s="66"/>
      <c r="CA456" s="66"/>
      <c r="CB456" s="66"/>
      <c r="CC456" s="66"/>
      <c r="CD456" s="66"/>
      <c r="CE456" s="66"/>
      <c r="CF456" s="66"/>
      <c r="CG456" s="66"/>
      <c r="CH456" s="66"/>
      <c r="CI456" s="66"/>
      <c r="CJ456" s="66"/>
      <c r="CK456" s="66"/>
      <c r="CL456" s="66"/>
      <c r="CM456" s="66"/>
      <c r="CN456" s="66"/>
      <c r="CO456" s="66"/>
      <c r="CP456" s="66"/>
      <c r="CQ456" s="66"/>
      <c r="CR456" s="66"/>
      <c r="CS456" s="66"/>
      <c r="CT456" s="66"/>
      <c r="CU456" s="66"/>
      <c r="CV456" s="66"/>
      <c r="CW456" s="66"/>
      <c r="CX456" s="66"/>
      <c r="CY456" s="66"/>
      <c r="CZ456" s="66"/>
      <c r="DA456" s="66"/>
      <c r="DB456" s="66"/>
      <c r="DC456" s="66"/>
      <c r="DD456" s="66"/>
      <c r="DE456" s="66"/>
      <c r="DF456" s="66"/>
      <c r="DG456" s="66"/>
      <c r="DH456" s="66"/>
      <c r="DI456" s="66"/>
      <c r="DJ456" s="66"/>
      <c r="DK456" s="66"/>
      <c r="DL456" s="66"/>
      <c r="DM456" s="66"/>
      <c r="DN456" s="66"/>
      <c r="DO456" s="66"/>
      <c r="DP456" s="66"/>
      <c r="DQ456" s="66"/>
      <c r="DR456" s="66"/>
      <c r="DS456" s="66"/>
      <c r="DT456" s="66"/>
      <c r="DU456" s="66"/>
      <c r="DV456" s="66"/>
      <c r="DW456" s="66"/>
      <c r="DX456" s="66"/>
      <c r="DY456" s="66"/>
      <c r="DZ456" s="66"/>
      <c r="EA456" s="66"/>
      <c r="EB456" s="66"/>
      <c r="EC456" s="66"/>
      <c r="ED456" s="66"/>
      <c r="EE456" s="66"/>
      <c r="EF456" s="66"/>
      <c r="EG456" s="66"/>
      <c r="EH456" s="66"/>
      <c r="EI456" s="66"/>
      <c r="EJ456" s="66"/>
      <c r="EK456" s="66"/>
      <c r="EL456" s="66"/>
      <c r="EM456" s="66"/>
      <c r="EN456" s="66"/>
      <c r="EO456" s="66"/>
      <c r="EP456" s="66"/>
      <c r="EQ456" s="66"/>
      <c r="ER456" s="66"/>
      <c r="ES456" s="66"/>
      <c r="ET456" s="66"/>
      <c r="EU456" s="66"/>
      <c r="EV456" s="66"/>
      <c r="EW456" s="66"/>
      <c r="EX456" s="66"/>
      <c r="EY456" s="66"/>
      <c r="EZ456" s="66"/>
      <c r="FA456" s="66"/>
      <c r="FB456" s="66"/>
      <c r="FC456" s="66"/>
      <c r="FD456" s="66"/>
      <c r="FE456" s="66"/>
      <c r="FF456" s="66"/>
      <c r="FG456" s="66"/>
      <c r="FH456" s="66"/>
      <c r="FI456" s="66"/>
      <c r="FJ456" s="66"/>
      <c r="FK456" s="66"/>
      <c r="FL456" s="66"/>
      <c r="FM456" s="66"/>
      <c r="FN456" s="66"/>
      <c r="FO456" s="66"/>
      <c r="FP456" s="66"/>
      <c r="FQ456" s="66"/>
      <c r="FR456" s="66"/>
      <c r="FS456" s="66"/>
      <c r="FT456" s="66"/>
      <c r="FU456" s="66"/>
      <c r="FV456" s="66"/>
      <c r="FW456" s="66"/>
      <c r="FX456" s="66"/>
      <c r="FY456" s="66"/>
      <c r="FZ456" s="66"/>
      <c r="GA456" s="66"/>
      <c r="GB456" s="66"/>
      <c r="GC456" s="66"/>
      <c r="GD456" s="66"/>
      <c r="GE456" s="66"/>
      <c r="GF456" s="66"/>
      <c r="GG456" s="66"/>
      <c r="GH456" s="66"/>
      <c r="GI456" s="66"/>
      <c r="GJ456" s="66"/>
      <c r="GK456" s="66"/>
      <c r="GL456" s="66"/>
      <c r="GM456" s="66"/>
      <c r="GN456" s="66"/>
      <c r="GO456" s="66"/>
      <c r="GP456" s="66"/>
      <c r="GQ456" s="66"/>
      <c r="GR456" s="66"/>
      <c r="GS456" s="66"/>
      <c r="GT456" s="66"/>
      <c r="GU456" s="66"/>
      <c r="GV456" s="66"/>
      <c r="GW456" s="66"/>
      <c r="GX456" s="66"/>
      <c r="GY456" s="66"/>
      <c r="GZ456" s="66"/>
      <c r="HA456" s="66"/>
      <c r="HB456" s="66"/>
      <c r="HC456" s="66"/>
      <c r="HD456" s="66"/>
      <c r="HE456" s="66"/>
      <c r="HF456" s="66"/>
      <c r="HG456" s="66"/>
      <c r="HH456" s="66"/>
      <c r="HI456" s="66"/>
      <c r="HJ456" s="66"/>
      <c r="HK456" s="66"/>
      <c r="HL456" s="66"/>
      <c r="HM456" s="66"/>
      <c r="HN456" s="66"/>
      <c r="HO456" s="66"/>
      <c r="HP456" s="66"/>
      <c r="HQ456" s="66"/>
      <c r="HR456" s="66"/>
      <c r="HS456" s="66"/>
      <c r="HT456" s="66"/>
      <c r="HU456" s="66"/>
      <c r="HV456" s="66"/>
      <c r="HW456" s="66"/>
      <c r="HX456" s="66"/>
      <c r="HY456" s="66"/>
      <c r="HZ456" s="66"/>
      <c r="IA456" s="66"/>
      <c r="IB456" s="66"/>
      <c r="IC456" s="66"/>
      <c r="ID456" s="66"/>
      <c r="IE456" s="66"/>
      <c r="IF456" s="66"/>
      <c r="IG456" s="66"/>
      <c r="IH456" s="66"/>
      <c r="II456" s="66"/>
      <c r="IJ456" s="66"/>
      <c r="IK456" s="66"/>
      <c r="IL456" s="66"/>
      <c r="IM456" s="66"/>
      <c r="IN456" s="66"/>
      <c r="IO456" s="66"/>
      <c r="IP456" s="66"/>
      <c r="IQ456" s="66"/>
      <c r="IR456" s="66"/>
      <c r="IS456" s="66"/>
      <c r="IT456" s="66"/>
      <c r="IU456" s="66"/>
      <c r="IV456" s="66"/>
    </row>
    <row r="457" spans="1:256" s="50" customFormat="1" ht="30" customHeight="1" x14ac:dyDescent="0.25">
      <c r="A457" s="214">
        <v>848200.82</v>
      </c>
      <c r="B457" s="175" t="s">
        <v>651</v>
      </c>
      <c r="C457" s="194"/>
      <c r="D457" s="187"/>
      <c r="E457" s="202"/>
      <c r="F457" s="194"/>
      <c r="G457" s="188"/>
      <c r="H457" s="195"/>
      <c r="I457" s="188"/>
      <c r="J457" s="189"/>
      <c r="K457" s="189"/>
      <c r="L457" s="189"/>
      <c r="M457" s="189"/>
      <c r="N457" s="189"/>
      <c r="O457" s="188"/>
      <c r="P457" s="188"/>
      <c r="Q457" s="188"/>
      <c r="R457" s="188"/>
      <c r="S457" s="188"/>
      <c r="T457" s="188"/>
      <c r="U457" s="188"/>
      <c r="V457" s="190"/>
      <c r="W457" s="188"/>
      <c r="X457" s="188">
        <v>16200</v>
      </c>
      <c r="Y457" s="188">
        <v>19000</v>
      </c>
      <c r="Z457" s="188">
        <f t="shared" si="197"/>
        <v>19000</v>
      </c>
      <c r="AA457" s="198"/>
      <c r="AB457" s="198"/>
      <c r="AC457" s="196"/>
      <c r="AD457" s="89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  <c r="BI457" s="66"/>
      <c r="BJ457" s="66"/>
      <c r="BK457" s="66"/>
      <c r="BL457" s="66"/>
      <c r="BM457" s="66"/>
      <c r="BN457" s="66"/>
      <c r="BO457" s="66"/>
      <c r="BP457" s="66"/>
      <c r="BQ457" s="66"/>
      <c r="BR457" s="66"/>
      <c r="BS457" s="66"/>
      <c r="BT457" s="66"/>
      <c r="BU457" s="66"/>
      <c r="BV457" s="66"/>
      <c r="BW457" s="66"/>
      <c r="BX457" s="66"/>
      <c r="BY457" s="66"/>
      <c r="BZ457" s="66"/>
      <c r="CA457" s="66"/>
      <c r="CB457" s="66"/>
      <c r="CC457" s="66"/>
      <c r="CD457" s="66"/>
      <c r="CE457" s="66"/>
      <c r="CF457" s="66"/>
      <c r="CG457" s="66"/>
      <c r="CH457" s="66"/>
      <c r="CI457" s="66"/>
      <c r="CJ457" s="66"/>
      <c r="CK457" s="66"/>
      <c r="CL457" s="66"/>
      <c r="CM457" s="66"/>
      <c r="CN457" s="66"/>
      <c r="CO457" s="66"/>
      <c r="CP457" s="66"/>
      <c r="CQ457" s="66"/>
      <c r="CR457" s="66"/>
      <c r="CS457" s="66"/>
      <c r="CT457" s="66"/>
      <c r="CU457" s="66"/>
      <c r="CV457" s="66"/>
      <c r="CW457" s="66"/>
      <c r="CX457" s="66"/>
      <c r="CY457" s="66"/>
      <c r="CZ457" s="66"/>
      <c r="DA457" s="66"/>
      <c r="DB457" s="66"/>
      <c r="DC457" s="66"/>
      <c r="DD457" s="66"/>
      <c r="DE457" s="66"/>
      <c r="DF457" s="66"/>
      <c r="DG457" s="66"/>
      <c r="DH457" s="66"/>
      <c r="DI457" s="66"/>
      <c r="DJ457" s="66"/>
      <c r="DK457" s="66"/>
      <c r="DL457" s="66"/>
      <c r="DM457" s="66"/>
      <c r="DN457" s="66"/>
      <c r="DO457" s="66"/>
      <c r="DP457" s="66"/>
      <c r="DQ457" s="66"/>
      <c r="DR457" s="66"/>
      <c r="DS457" s="66"/>
      <c r="DT457" s="66"/>
      <c r="DU457" s="66"/>
      <c r="DV457" s="66"/>
      <c r="DW457" s="66"/>
      <c r="DX457" s="66"/>
      <c r="DY457" s="66"/>
      <c r="DZ457" s="66"/>
      <c r="EA457" s="66"/>
      <c r="EB457" s="66"/>
      <c r="EC457" s="66"/>
      <c r="ED457" s="66"/>
      <c r="EE457" s="66"/>
      <c r="EF457" s="66"/>
      <c r="EG457" s="66"/>
      <c r="EH457" s="66"/>
      <c r="EI457" s="66"/>
      <c r="EJ457" s="66"/>
      <c r="EK457" s="66"/>
      <c r="EL457" s="66"/>
      <c r="EM457" s="66"/>
      <c r="EN457" s="66"/>
      <c r="EO457" s="66"/>
      <c r="EP457" s="66"/>
      <c r="EQ457" s="66"/>
      <c r="ER457" s="66"/>
      <c r="ES457" s="66"/>
      <c r="ET457" s="66"/>
      <c r="EU457" s="66"/>
      <c r="EV457" s="66"/>
      <c r="EW457" s="66"/>
      <c r="EX457" s="66"/>
      <c r="EY457" s="66"/>
      <c r="EZ457" s="66"/>
      <c r="FA457" s="66"/>
      <c r="FB457" s="66"/>
      <c r="FC457" s="66"/>
      <c r="FD457" s="66"/>
      <c r="FE457" s="66"/>
      <c r="FF457" s="66"/>
      <c r="FG457" s="66"/>
      <c r="FH457" s="66"/>
      <c r="FI457" s="66"/>
      <c r="FJ457" s="66"/>
      <c r="FK457" s="66"/>
      <c r="FL457" s="66"/>
      <c r="FM457" s="66"/>
      <c r="FN457" s="66"/>
      <c r="FO457" s="66"/>
      <c r="FP457" s="66"/>
      <c r="FQ457" s="66"/>
      <c r="FR457" s="66"/>
      <c r="FS457" s="66"/>
      <c r="FT457" s="66"/>
      <c r="FU457" s="66"/>
      <c r="FV457" s="66"/>
      <c r="FW457" s="66"/>
      <c r="FX457" s="66"/>
      <c r="FY457" s="66"/>
      <c r="FZ457" s="66"/>
      <c r="GA457" s="66"/>
      <c r="GB457" s="66"/>
      <c r="GC457" s="66"/>
      <c r="GD457" s="66"/>
      <c r="GE457" s="66"/>
      <c r="GF457" s="66"/>
      <c r="GG457" s="66"/>
      <c r="GH457" s="66"/>
      <c r="GI457" s="66"/>
      <c r="GJ457" s="66"/>
      <c r="GK457" s="66"/>
      <c r="GL457" s="66"/>
      <c r="GM457" s="66"/>
      <c r="GN457" s="66"/>
      <c r="GO457" s="66"/>
      <c r="GP457" s="66"/>
      <c r="GQ457" s="66"/>
      <c r="GR457" s="66"/>
      <c r="GS457" s="66"/>
      <c r="GT457" s="66"/>
      <c r="GU457" s="66"/>
      <c r="GV457" s="66"/>
      <c r="GW457" s="66"/>
      <c r="GX457" s="66"/>
      <c r="GY457" s="66"/>
      <c r="GZ457" s="66"/>
      <c r="HA457" s="66"/>
      <c r="HB457" s="66"/>
      <c r="HC457" s="66"/>
      <c r="HD457" s="66"/>
      <c r="HE457" s="66"/>
      <c r="HF457" s="66"/>
      <c r="HG457" s="66"/>
      <c r="HH457" s="66"/>
      <c r="HI457" s="66"/>
      <c r="HJ457" s="66"/>
      <c r="HK457" s="66"/>
      <c r="HL457" s="66"/>
      <c r="HM457" s="66"/>
      <c r="HN457" s="66"/>
      <c r="HO457" s="66"/>
      <c r="HP457" s="66"/>
      <c r="HQ457" s="66"/>
      <c r="HR457" s="66"/>
      <c r="HS457" s="66"/>
      <c r="HT457" s="66"/>
      <c r="HU457" s="66"/>
      <c r="HV457" s="66"/>
      <c r="HW457" s="66"/>
      <c r="HX457" s="66"/>
      <c r="HY457" s="66"/>
      <c r="HZ457" s="66"/>
      <c r="IA457" s="66"/>
      <c r="IB457" s="66"/>
      <c r="IC457" s="66"/>
      <c r="ID457" s="66"/>
      <c r="IE457" s="66"/>
      <c r="IF457" s="66"/>
      <c r="IG457" s="66"/>
      <c r="IH457" s="66"/>
      <c r="II457" s="66"/>
      <c r="IJ457" s="66"/>
      <c r="IK457" s="66"/>
      <c r="IL457" s="66"/>
      <c r="IM457" s="66"/>
      <c r="IN457" s="66"/>
      <c r="IO457" s="66"/>
      <c r="IP457" s="66"/>
      <c r="IQ457" s="66"/>
      <c r="IR457" s="66"/>
      <c r="IS457" s="66"/>
      <c r="IT457" s="66"/>
      <c r="IU457" s="66"/>
      <c r="IV457" s="66"/>
    </row>
    <row r="458" spans="1:256" s="50" customFormat="1" ht="30" customHeight="1" x14ac:dyDescent="0.25">
      <c r="A458" s="193">
        <v>849100.11</v>
      </c>
      <c r="B458" s="175" t="s">
        <v>652</v>
      </c>
      <c r="C458" s="194"/>
      <c r="D458" s="187"/>
      <c r="E458" s="202"/>
      <c r="F458" s="194"/>
      <c r="G458" s="188"/>
      <c r="H458" s="195"/>
      <c r="I458" s="188"/>
      <c r="J458" s="189"/>
      <c r="K458" s="189"/>
      <c r="L458" s="189"/>
      <c r="M458" s="189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>
        <v>41409</v>
      </c>
      <c r="Y458" s="190">
        <v>49000</v>
      </c>
      <c r="Z458" s="190">
        <v>52000</v>
      </c>
      <c r="AA458" s="191">
        <v>94000</v>
      </c>
      <c r="AB458" s="191">
        <v>148000</v>
      </c>
      <c r="AC458" s="196">
        <v>1</v>
      </c>
      <c r="AD458" s="89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  <c r="BI458" s="66"/>
      <c r="BJ458" s="66"/>
      <c r="BK458" s="66"/>
      <c r="BL458" s="66"/>
      <c r="BM458" s="66"/>
      <c r="BN458" s="66"/>
      <c r="BO458" s="66"/>
      <c r="BP458" s="66"/>
      <c r="BQ458" s="66"/>
      <c r="BR458" s="66"/>
      <c r="BS458" s="66"/>
      <c r="BT458" s="66"/>
      <c r="BU458" s="66"/>
      <c r="BV458" s="66"/>
      <c r="BW458" s="66"/>
      <c r="BX458" s="66"/>
      <c r="BY458" s="66"/>
      <c r="BZ458" s="66"/>
      <c r="CA458" s="66"/>
      <c r="CB458" s="66"/>
      <c r="CC458" s="66"/>
      <c r="CD458" s="66"/>
      <c r="CE458" s="66"/>
      <c r="CF458" s="66"/>
      <c r="CG458" s="66"/>
      <c r="CH458" s="66"/>
      <c r="CI458" s="66"/>
      <c r="CJ458" s="66"/>
      <c r="CK458" s="66"/>
      <c r="CL458" s="66"/>
      <c r="CM458" s="66"/>
      <c r="CN458" s="66"/>
      <c r="CO458" s="66"/>
      <c r="CP458" s="66"/>
      <c r="CQ458" s="66"/>
      <c r="CR458" s="66"/>
      <c r="CS458" s="66"/>
      <c r="CT458" s="66"/>
      <c r="CU458" s="66"/>
      <c r="CV458" s="66"/>
      <c r="CW458" s="66"/>
      <c r="CX458" s="66"/>
      <c r="CY458" s="66"/>
      <c r="CZ458" s="66"/>
      <c r="DA458" s="66"/>
      <c r="DB458" s="66"/>
      <c r="DC458" s="66"/>
      <c r="DD458" s="66"/>
      <c r="DE458" s="66"/>
      <c r="DF458" s="66"/>
      <c r="DG458" s="66"/>
      <c r="DH458" s="66"/>
      <c r="DI458" s="66"/>
      <c r="DJ458" s="66"/>
      <c r="DK458" s="66"/>
      <c r="DL458" s="66"/>
      <c r="DM458" s="66"/>
      <c r="DN458" s="66"/>
      <c r="DO458" s="66"/>
      <c r="DP458" s="66"/>
      <c r="DQ458" s="66"/>
      <c r="DR458" s="66"/>
      <c r="DS458" s="66"/>
      <c r="DT458" s="66"/>
      <c r="DU458" s="66"/>
      <c r="DV458" s="66"/>
      <c r="DW458" s="66"/>
      <c r="DX458" s="66"/>
      <c r="DY458" s="66"/>
      <c r="DZ458" s="66"/>
      <c r="EA458" s="66"/>
      <c r="EB458" s="66"/>
      <c r="EC458" s="66"/>
      <c r="ED458" s="66"/>
      <c r="EE458" s="66"/>
      <c r="EF458" s="66"/>
      <c r="EG458" s="66"/>
      <c r="EH458" s="66"/>
      <c r="EI458" s="66"/>
      <c r="EJ458" s="66"/>
      <c r="EK458" s="66"/>
      <c r="EL458" s="66"/>
      <c r="EM458" s="66"/>
      <c r="EN458" s="66"/>
      <c r="EO458" s="66"/>
      <c r="EP458" s="66"/>
      <c r="EQ458" s="66"/>
      <c r="ER458" s="66"/>
      <c r="ES458" s="66"/>
      <c r="ET458" s="66"/>
      <c r="EU458" s="66"/>
      <c r="EV458" s="66"/>
      <c r="EW458" s="66"/>
      <c r="EX458" s="66"/>
      <c r="EY458" s="66"/>
      <c r="EZ458" s="66"/>
      <c r="FA458" s="66"/>
      <c r="FB458" s="66"/>
      <c r="FC458" s="66"/>
      <c r="FD458" s="66"/>
      <c r="FE458" s="66"/>
      <c r="FF458" s="66"/>
      <c r="FG458" s="66"/>
      <c r="FH458" s="66"/>
      <c r="FI458" s="66"/>
      <c r="FJ458" s="66"/>
      <c r="FK458" s="66"/>
      <c r="FL458" s="66"/>
      <c r="FM458" s="66"/>
      <c r="FN458" s="66"/>
      <c r="FO458" s="66"/>
      <c r="FP458" s="66"/>
      <c r="FQ458" s="66"/>
      <c r="FR458" s="66"/>
      <c r="FS458" s="66"/>
      <c r="FT458" s="66"/>
      <c r="FU458" s="66"/>
      <c r="FV458" s="66"/>
      <c r="FW458" s="66"/>
      <c r="FX458" s="66"/>
      <c r="FY458" s="66"/>
      <c r="FZ458" s="66"/>
      <c r="GA458" s="66"/>
      <c r="GB458" s="66"/>
      <c r="GC458" s="66"/>
      <c r="GD458" s="66"/>
      <c r="GE458" s="66"/>
      <c r="GF458" s="66"/>
      <c r="GG458" s="66"/>
      <c r="GH458" s="66"/>
      <c r="GI458" s="66"/>
      <c r="GJ458" s="66"/>
      <c r="GK458" s="66"/>
      <c r="GL458" s="66"/>
      <c r="GM458" s="66"/>
      <c r="GN458" s="66"/>
      <c r="GO458" s="66"/>
      <c r="GP458" s="66"/>
      <c r="GQ458" s="66"/>
      <c r="GR458" s="66"/>
      <c r="GS458" s="66"/>
      <c r="GT458" s="66"/>
      <c r="GU458" s="66"/>
      <c r="GV458" s="66"/>
      <c r="GW458" s="66"/>
      <c r="GX458" s="66"/>
      <c r="GY458" s="66"/>
      <c r="GZ458" s="66"/>
      <c r="HA458" s="66"/>
      <c r="HB458" s="66"/>
      <c r="HC458" s="66"/>
      <c r="HD458" s="66"/>
      <c r="HE458" s="66"/>
      <c r="HF458" s="66"/>
      <c r="HG458" s="66"/>
      <c r="HH458" s="66"/>
      <c r="HI458" s="66"/>
      <c r="HJ458" s="66"/>
      <c r="HK458" s="66"/>
      <c r="HL458" s="66"/>
      <c r="HM458" s="66"/>
      <c r="HN458" s="66"/>
      <c r="HO458" s="66"/>
      <c r="HP458" s="66"/>
      <c r="HQ458" s="66"/>
      <c r="HR458" s="66"/>
      <c r="HS458" s="66"/>
      <c r="HT458" s="66"/>
      <c r="HU458" s="66"/>
      <c r="HV458" s="66"/>
      <c r="HW458" s="66"/>
      <c r="HX458" s="66"/>
      <c r="HY458" s="66"/>
      <c r="HZ458" s="66"/>
      <c r="IA458" s="66"/>
      <c r="IB458" s="66"/>
      <c r="IC458" s="66"/>
      <c r="ID458" s="66"/>
      <c r="IE458" s="66"/>
      <c r="IF458" s="66"/>
      <c r="IG458" s="66"/>
      <c r="IH458" s="66"/>
      <c r="II458" s="66"/>
      <c r="IJ458" s="66"/>
      <c r="IK458" s="66"/>
      <c r="IL458" s="66"/>
      <c r="IM458" s="66"/>
      <c r="IN458" s="66"/>
      <c r="IO458" s="66"/>
      <c r="IP458" s="66"/>
      <c r="IQ458" s="66"/>
      <c r="IR458" s="66"/>
      <c r="IS458" s="66"/>
      <c r="IT458" s="66"/>
      <c r="IU458" s="66"/>
      <c r="IV458" s="66"/>
    </row>
    <row r="459" spans="1:256" ht="30" customHeight="1" x14ac:dyDescent="0.25">
      <c r="A459" s="214"/>
      <c r="B459" s="175"/>
      <c r="C459" s="194"/>
      <c r="D459" s="187"/>
      <c r="E459" s="202"/>
      <c r="F459" s="194"/>
      <c r="G459" s="188"/>
      <c r="H459" s="195"/>
      <c r="I459" s="188"/>
      <c r="J459" s="189"/>
      <c r="K459" s="189"/>
      <c r="L459" s="189"/>
      <c r="M459" s="189"/>
      <c r="N459" s="188"/>
      <c r="O459" s="188"/>
      <c r="P459" s="188"/>
      <c r="Q459" s="188"/>
      <c r="R459" s="188"/>
      <c r="S459" s="188"/>
      <c r="T459" s="188"/>
      <c r="U459" s="188"/>
      <c r="V459" s="190"/>
      <c r="W459" s="188"/>
      <c r="X459" s="188"/>
      <c r="Y459" s="188"/>
      <c r="Z459" s="188"/>
      <c r="AA459" s="198"/>
      <c r="AB459" s="198"/>
      <c r="AC459" s="196"/>
      <c r="AD459" s="88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</row>
    <row r="460" spans="1:256" ht="30" customHeight="1" x14ac:dyDescent="0.25">
      <c r="A460" s="222"/>
      <c r="B460" s="275" t="s">
        <v>9</v>
      </c>
      <c r="C460" s="211">
        <f t="shared" ref="C460:M460" si="199">C459+C456+C455+C440+C427+C408+C399+C385+C379+C413</f>
        <v>13439000</v>
      </c>
      <c r="D460" s="211">
        <f t="shared" si="199"/>
        <v>39433</v>
      </c>
      <c r="E460" s="211">
        <f t="shared" si="199"/>
        <v>14919690</v>
      </c>
      <c r="F460" s="211">
        <f t="shared" si="199"/>
        <v>15918823</v>
      </c>
      <c r="G460" s="212">
        <f t="shared" si="199"/>
        <v>17381948</v>
      </c>
      <c r="H460" s="212">
        <f t="shared" si="199"/>
        <v>12363308</v>
      </c>
      <c r="I460" s="212">
        <f t="shared" si="199"/>
        <v>12941483</v>
      </c>
      <c r="J460" s="213">
        <f t="shared" si="199"/>
        <v>44451</v>
      </c>
      <c r="K460" s="213">
        <f t="shared" si="199"/>
        <v>17255310.666666668</v>
      </c>
      <c r="L460" s="213">
        <f t="shared" si="199"/>
        <v>12830496</v>
      </c>
      <c r="M460" s="213">
        <f t="shared" si="199"/>
        <v>9019717.2142857127</v>
      </c>
      <c r="N460" s="212" t="e">
        <f>N459+N456+N455+N440+N427+N408+N399+N385+N379+N413+#REF!</f>
        <v>#REF!</v>
      </c>
      <c r="O460" s="212" t="e">
        <f>O459+O456+O455+O440+O427+O408+O399+O385+O379+O413+#REF!</f>
        <v>#REF!</v>
      </c>
      <c r="P460" s="212" t="e">
        <f>P459+P456+P455+P440+P427+P408+P399+P385+P379+P413+#REF!</f>
        <v>#REF!</v>
      </c>
      <c r="Q460" s="212" t="e">
        <f>Q459+Q456+Q455+Q440+Q427+Q408+Q399+Q385+Q379+Q413+#REF!</f>
        <v>#REF!</v>
      </c>
      <c r="R460" s="212" t="e">
        <f>R459+R456+R455+R440+R427+R408+R399+R385+R379+R413+#REF!</f>
        <v>#REF!</v>
      </c>
      <c r="S460" s="212" t="e">
        <f>S459+S456+S455+S440+S427+S408+S399+S385+S379+S413+#REF!</f>
        <v>#REF!</v>
      </c>
      <c r="T460" s="212" t="e">
        <f>T459+T456+T455+T440+T427+T408+T399+T385+T379+T413+#REF!</f>
        <v>#REF!</v>
      </c>
      <c r="U460" s="212" t="e">
        <f>U459+U456+U455+U440+U427+U408+U399+U385+U379+U413+#REF!</f>
        <v>#REF!</v>
      </c>
      <c r="V460" s="212" t="e">
        <f>V459+V456+V455+V440+V427+V408+V399+V385+V379+V413+#REF!</f>
        <v>#REF!</v>
      </c>
      <c r="W460" s="212" t="e">
        <f>W459+W456+W455+W440+W427+W408+W399+W385+W379+W413+#REF!</f>
        <v>#REF!</v>
      </c>
      <c r="X460" s="212" t="e">
        <f>X459+X456+X457+X455+X440+X427+X408+X399+X385+X379+X413+#REF!+X458</f>
        <v>#REF!</v>
      </c>
      <c r="Y460" s="212" t="e">
        <f>Y459+Y456+Y457+Y455+Y440+Y427+Y408+Y399+Y385+Y379+Y413+#REF!+Y458</f>
        <v>#REF!</v>
      </c>
      <c r="Z460" s="212">
        <f>Z459+Z456+Z457+Z455+Z440+Z427+Z408+Z399+Z385+Z379+Z413+Z458</f>
        <v>25536800.399999999</v>
      </c>
      <c r="AA460" s="212">
        <f t="shared" ref="AA460:AB460" si="200">AA459+AA456+AA457+AA455+AA440+AA427+AA408+AA399+AA385+AA379+AA413+AA458</f>
        <v>25567000</v>
      </c>
      <c r="AB460" s="212">
        <f t="shared" si="200"/>
        <v>26350000</v>
      </c>
      <c r="AC460" s="212">
        <f>AC459+AC456+AC457+AC455+AC440+AC427+AC408+AC399+AC385+AC379+AC413+AC458</f>
        <v>78.260000000000005</v>
      </c>
      <c r="AD460" s="88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</row>
    <row r="461" spans="1:256" ht="30" customHeight="1" x14ac:dyDescent="0.25">
      <c r="A461" s="214">
        <v>853000.43099999998</v>
      </c>
      <c r="B461" s="175" t="s">
        <v>200</v>
      </c>
      <c r="C461" s="194">
        <v>80000</v>
      </c>
      <c r="D461" s="187"/>
      <c r="E461" s="202">
        <v>140807</v>
      </c>
      <c r="F461" s="194">
        <v>110000</v>
      </c>
      <c r="G461" s="188">
        <v>130000</v>
      </c>
      <c r="H461" s="195">
        <v>75567</v>
      </c>
      <c r="I461" s="188">
        <v>51147</v>
      </c>
      <c r="J461" s="189"/>
      <c r="K461" s="189">
        <f t="shared" si="174"/>
        <v>68196</v>
      </c>
      <c r="L461" s="189">
        <v>76879</v>
      </c>
      <c r="M461" s="189">
        <f>L461/8*4</f>
        <v>38439.5</v>
      </c>
      <c r="N461" s="188">
        <v>70000</v>
      </c>
      <c r="O461" s="188">
        <v>119000</v>
      </c>
      <c r="P461" s="188">
        <f>L461+M461</f>
        <v>115318.5</v>
      </c>
      <c r="Q461" s="188">
        <f>O461</f>
        <v>119000</v>
      </c>
      <c r="R461" s="188">
        <v>43495</v>
      </c>
      <c r="S461" s="188">
        <f>R461*2</f>
        <v>86990</v>
      </c>
      <c r="T461" s="188">
        <v>90000</v>
      </c>
      <c r="U461" s="188">
        <v>128285</v>
      </c>
      <c r="V461" s="190">
        <f t="shared" si="191"/>
        <v>153942</v>
      </c>
      <c r="W461" s="188">
        <v>150000</v>
      </c>
      <c r="X461" s="188">
        <v>105496</v>
      </c>
      <c r="Y461" s="188">
        <v>126000</v>
      </c>
      <c r="Z461" s="188">
        <f t="shared" si="197"/>
        <v>126000</v>
      </c>
      <c r="AA461" s="252">
        <v>116000</v>
      </c>
      <c r="AB461" s="198">
        <v>116000</v>
      </c>
      <c r="AC461" s="196"/>
      <c r="AD461" s="88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</row>
    <row r="462" spans="1:256" ht="30" customHeight="1" x14ac:dyDescent="0.25">
      <c r="A462" s="214">
        <v>853000.43200000003</v>
      </c>
      <c r="B462" s="175" t="s">
        <v>201</v>
      </c>
      <c r="C462" s="194">
        <v>30000</v>
      </c>
      <c r="D462" s="187"/>
      <c r="E462" s="202">
        <v>33352</v>
      </c>
      <c r="F462" s="194">
        <v>32000</v>
      </c>
      <c r="G462" s="188">
        <v>30000</v>
      </c>
      <c r="H462" s="195">
        <v>20447</v>
      </c>
      <c r="I462" s="188">
        <v>23904</v>
      </c>
      <c r="J462" s="189"/>
      <c r="K462" s="189">
        <f t="shared" si="174"/>
        <v>31872</v>
      </c>
      <c r="L462" s="189">
        <v>29632</v>
      </c>
      <c r="M462" s="189">
        <f>L462/8*4</f>
        <v>14816</v>
      </c>
      <c r="N462" s="189">
        <v>17000</v>
      </c>
      <c r="O462" s="188">
        <v>17000</v>
      </c>
      <c r="P462" s="188">
        <f>L462+M462</f>
        <v>44448</v>
      </c>
      <c r="Q462" s="188">
        <f>O462</f>
        <v>17000</v>
      </c>
      <c r="R462" s="188">
        <v>25585</v>
      </c>
      <c r="S462" s="188">
        <f>R462*2</f>
        <v>51170</v>
      </c>
      <c r="T462" s="188">
        <f>S462</f>
        <v>51170</v>
      </c>
      <c r="U462" s="188">
        <v>55641</v>
      </c>
      <c r="V462" s="190">
        <f t="shared" si="191"/>
        <v>66769.2</v>
      </c>
      <c r="W462" s="188">
        <v>72000</v>
      </c>
      <c r="X462" s="188">
        <v>67596</v>
      </c>
      <c r="Y462" s="188">
        <v>81000</v>
      </c>
      <c r="Z462" s="188">
        <f t="shared" si="197"/>
        <v>81000</v>
      </c>
      <c r="AA462" s="252">
        <v>52000</v>
      </c>
      <c r="AB462" s="198">
        <v>52000</v>
      </c>
      <c r="AC462" s="196"/>
      <c r="AD462" s="88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</row>
    <row r="463" spans="1:256" ht="30" customHeight="1" x14ac:dyDescent="0.25">
      <c r="A463" s="222"/>
      <c r="B463" s="275" t="s">
        <v>202</v>
      </c>
      <c r="C463" s="211">
        <f t="shared" ref="C463:AC463" si="201">SUM(C461:C462)</f>
        <v>110000</v>
      </c>
      <c r="D463" s="211">
        <f t="shared" si="201"/>
        <v>0</v>
      </c>
      <c r="E463" s="211">
        <f t="shared" si="201"/>
        <v>174159</v>
      </c>
      <c r="F463" s="211">
        <f t="shared" si="201"/>
        <v>142000</v>
      </c>
      <c r="G463" s="212">
        <f t="shared" si="201"/>
        <v>160000</v>
      </c>
      <c r="H463" s="212">
        <f t="shared" si="201"/>
        <v>96014</v>
      </c>
      <c r="I463" s="212">
        <f t="shared" si="201"/>
        <v>75051</v>
      </c>
      <c r="J463" s="213">
        <f t="shared" si="201"/>
        <v>0</v>
      </c>
      <c r="K463" s="213">
        <f t="shared" si="201"/>
        <v>100068</v>
      </c>
      <c r="L463" s="213">
        <f t="shared" si="201"/>
        <v>106511</v>
      </c>
      <c r="M463" s="213">
        <f t="shared" si="201"/>
        <v>53255.5</v>
      </c>
      <c r="N463" s="212">
        <f t="shared" si="201"/>
        <v>87000</v>
      </c>
      <c r="O463" s="212">
        <f t="shared" si="201"/>
        <v>136000</v>
      </c>
      <c r="P463" s="212">
        <f t="shared" si="201"/>
        <v>159766.5</v>
      </c>
      <c r="Q463" s="212">
        <f t="shared" si="201"/>
        <v>136000</v>
      </c>
      <c r="R463" s="212">
        <f t="shared" si="201"/>
        <v>69080</v>
      </c>
      <c r="S463" s="212">
        <f t="shared" si="201"/>
        <v>138160</v>
      </c>
      <c r="T463" s="212">
        <f t="shared" si="201"/>
        <v>141170</v>
      </c>
      <c r="U463" s="212">
        <f t="shared" si="201"/>
        <v>183926</v>
      </c>
      <c r="V463" s="212">
        <f t="shared" si="201"/>
        <v>220711.2</v>
      </c>
      <c r="W463" s="212">
        <f t="shared" si="201"/>
        <v>222000</v>
      </c>
      <c r="X463" s="212">
        <f t="shared" si="201"/>
        <v>173092</v>
      </c>
      <c r="Y463" s="212">
        <f t="shared" si="201"/>
        <v>207000</v>
      </c>
      <c r="Z463" s="212">
        <f t="shared" si="201"/>
        <v>207000</v>
      </c>
      <c r="AA463" s="211">
        <f t="shared" si="201"/>
        <v>168000</v>
      </c>
      <c r="AB463" s="211">
        <f t="shared" si="201"/>
        <v>168000</v>
      </c>
      <c r="AC463" s="212">
        <f t="shared" si="201"/>
        <v>0</v>
      </c>
      <c r="AD463" s="88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</row>
    <row r="464" spans="1:256" ht="30" customHeight="1" x14ac:dyDescent="0.25">
      <c r="A464" s="193">
        <v>871000.11</v>
      </c>
      <c r="B464" s="175" t="s">
        <v>203</v>
      </c>
      <c r="C464" s="194">
        <v>620000</v>
      </c>
      <c r="D464" s="187"/>
      <c r="E464" s="202">
        <v>579378</v>
      </c>
      <c r="F464" s="194">
        <v>580000</v>
      </c>
      <c r="G464" s="188">
        <v>704085</v>
      </c>
      <c r="H464" s="195">
        <v>515182</v>
      </c>
      <c r="I464" s="188">
        <v>673878</v>
      </c>
      <c r="J464" s="189"/>
      <c r="K464" s="189">
        <f t="shared" ref="K464:K469" si="202">I464*4/3</f>
        <v>898504</v>
      </c>
      <c r="L464" s="189">
        <v>517164</v>
      </c>
      <c r="M464" s="189">
        <f>L464/8*5</f>
        <v>323227.5</v>
      </c>
      <c r="N464" s="190">
        <v>890635</v>
      </c>
      <c r="O464" s="190">
        <v>835500</v>
      </c>
      <c r="P464" s="190">
        <f>M464+L464</f>
        <v>840391.5</v>
      </c>
      <c r="Q464" s="190">
        <f>O464*1.045</f>
        <v>873097.49999999988</v>
      </c>
      <c r="R464" s="190">
        <f>420776*0.985</f>
        <v>414464.36</v>
      </c>
      <c r="S464" s="190">
        <f>R464*2</f>
        <v>828928.72</v>
      </c>
      <c r="T464" s="190">
        <f>S464</f>
        <v>828928.72</v>
      </c>
      <c r="U464" s="190">
        <v>698503</v>
      </c>
      <c r="V464" s="190">
        <f t="shared" si="191"/>
        <v>838203.6</v>
      </c>
      <c r="W464" s="190">
        <v>838383</v>
      </c>
      <c r="X464" s="190">
        <v>703459</v>
      </c>
      <c r="Y464" s="190">
        <v>844000</v>
      </c>
      <c r="Z464" s="190">
        <v>840000</v>
      </c>
      <c r="AA464" s="191">
        <v>682000</v>
      </c>
      <c r="AB464" s="191">
        <v>652000</v>
      </c>
      <c r="AC464" s="196">
        <v>4.5</v>
      </c>
      <c r="AD464" s="88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</row>
    <row r="465" spans="1:256" ht="30" customHeight="1" x14ac:dyDescent="0.25">
      <c r="A465" s="214">
        <v>871000.41</v>
      </c>
      <c r="B465" s="175" t="s">
        <v>228</v>
      </c>
      <c r="C465" s="194">
        <v>30000</v>
      </c>
      <c r="D465" s="187"/>
      <c r="E465" s="202">
        <v>26562</v>
      </c>
      <c r="F465" s="194">
        <v>26000</v>
      </c>
      <c r="G465" s="188">
        <v>23000</v>
      </c>
      <c r="H465" s="195">
        <v>6612</v>
      </c>
      <c r="I465" s="188">
        <v>2408</v>
      </c>
      <c r="J465" s="189"/>
      <c r="K465" s="189">
        <f t="shared" si="202"/>
        <v>3210.6666666666665</v>
      </c>
      <c r="L465" s="189">
        <v>13224</v>
      </c>
      <c r="M465" s="189">
        <f t="shared" ref="M465:M469" si="203">L465/8*4</f>
        <v>6612</v>
      </c>
      <c r="N465" s="188">
        <v>25000</v>
      </c>
      <c r="O465" s="188">
        <v>25000</v>
      </c>
      <c r="P465" s="188">
        <f t="shared" ref="P465:P469" si="204">L465+M465</f>
        <v>19836</v>
      </c>
      <c r="Q465" s="188">
        <f>O465</f>
        <v>25000</v>
      </c>
      <c r="R465" s="188">
        <v>12636</v>
      </c>
      <c r="S465" s="188">
        <f t="shared" ref="S465:S469" si="205">R465*2</f>
        <v>25272</v>
      </c>
      <c r="T465" s="188">
        <f>S465</f>
        <v>25272</v>
      </c>
      <c r="U465" s="188">
        <v>18954</v>
      </c>
      <c r="V465" s="190">
        <f t="shared" si="191"/>
        <v>22744.799999999999</v>
      </c>
      <c r="W465" s="188">
        <v>25272</v>
      </c>
      <c r="X465" s="188">
        <v>24780</v>
      </c>
      <c r="Y465" s="188">
        <v>29000</v>
      </c>
      <c r="Z465" s="188">
        <f t="shared" ref="Z465:Z469" si="206">Y465</f>
        <v>29000</v>
      </c>
      <c r="AA465" s="198">
        <v>21000</v>
      </c>
      <c r="AB465" s="198">
        <v>0</v>
      </c>
      <c r="AC465" s="196"/>
      <c r="AD465" s="88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</row>
    <row r="466" spans="1:256" ht="30" customHeight="1" x14ac:dyDescent="0.25">
      <c r="A466" s="214">
        <v>871000.53</v>
      </c>
      <c r="B466" s="175" t="s">
        <v>227</v>
      </c>
      <c r="C466" s="194">
        <v>10000</v>
      </c>
      <c r="D466" s="187"/>
      <c r="E466" s="202">
        <v>10477</v>
      </c>
      <c r="F466" s="194">
        <v>15000</v>
      </c>
      <c r="G466" s="188">
        <v>30000</v>
      </c>
      <c r="H466" s="195">
        <v>21243</v>
      </c>
      <c r="I466" s="188">
        <v>13908</v>
      </c>
      <c r="J466" s="189"/>
      <c r="K466" s="189">
        <f t="shared" si="202"/>
        <v>18544</v>
      </c>
      <c r="L466" s="189">
        <v>12785</v>
      </c>
      <c r="M466" s="189">
        <f t="shared" si="203"/>
        <v>6392.5</v>
      </c>
      <c r="N466" s="188">
        <v>20000</v>
      </c>
      <c r="O466" s="188">
        <v>23600</v>
      </c>
      <c r="P466" s="188">
        <f t="shared" si="204"/>
        <v>19177.5</v>
      </c>
      <c r="Q466" s="188">
        <f>O466</f>
        <v>23600</v>
      </c>
      <c r="R466" s="188">
        <v>4859</v>
      </c>
      <c r="S466" s="188">
        <f t="shared" si="205"/>
        <v>9718</v>
      </c>
      <c r="T466" s="188">
        <v>13000</v>
      </c>
      <c r="U466" s="188">
        <f>185+12253</f>
        <v>12438</v>
      </c>
      <c r="V466" s="190">
        <f t="shared" si="191"/>
        <v>14925.6</v>
      </c>
      <c r="W466" s="188">
        <v>13000</v>
      </c>
      <c r="X466" s="188">
        <v>12308</v>
      </c>
      <c r="Y466" s="188">
        <v>14000</v>
      </c>
      <c r="Z466" s="188">
        <f t="shared" si="206"/>
        <v>14000</v>
      </c>
      <c r="AA466" s="198"/>
      <c r="AB466" s="198"/>
      <c r="AC466" s="196"/>
      <c r="AD466" s="88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</row>
    <row r="467" spans="1:256" ht="30" customHeight="1" x14ac:dyDescent="0.25">
      <c r="A467" s="214">
        <v>871000.54</v>
      </c>
      <c r="B467" s="175" t="s">
        <v>229</v>
      </c>
      <c r="C467" s="194">
        <v>25000</v>
      </c>
      <c r="D467" s="187"/>
      <c r="E467" s="202">
        <v>29205</v>
      </c>
      <c r="F467" s="194">
        <v>25000</v>
      </c>
      <c r="G467" s="188">
        <v>30000</v>
      </c>
      <c r="H467" s="195">
        <v>28790</v>
      </c>
      <c r="I467" s="188">
        <v>22610</v>
      </c>
      <c r="J467" s="189"/>
      <c r="K467" s="189">
        <f t="shared" si="202"/>
        <v>30146.666666666668</v>
      </c>
      <c r="L467" s="189">
        <v>14485</v>
      </c>
      <c r="M467" s="189">
        <f t="shared" si="203"/>
        <v>7242.5</v>
      </c>
      <c r="N467" s="188">
        <v>24000</v>
      </c>
      <c r="O467" s="188">
        <v>24000</v>
      </c>
      <c r="P467" s="188">
        <f t="shared" si="204"/>
        <v>21727.5</v>
      </c>
      <c r="Q467" s="188">
        <f>O467</f>
        <v>24000</v>
      </c>
      <c r="R467" s="188">
        <v>2922</v>
      </c>
      <c r="S467" s="188">
        <f t="shared" si="205"/>
        <v>5844</v>
      </c>
      <c r="T467" s="188">
        <v>8000</v>
      </c>
      <c r="U467" s="188">
        <v>8594</v>
      </c>
      <c r="V467" s="190">
        <f t="shared" si="191"/>
        <v>10312.799999999999</v>
      </c>
      <c r="W467" s="188">
        <v>12000</v>
      </c>
      <c r="X467" s="188">
        <v>10794</v>
      </c>
      <c r="Y467" s="188">
        <v>12000</v>
      </c>
      <c r="Z467" s="188">
        <f t="shared" si="206"/>
        <v>12000</v>
      </c>
      <c r="AA467" s="198">
        <v>8000</v>
      </c>
      <c r="AB467" s="198">
        <v>8000</v>
      </c>
      <c r="AC467" s="196"/>
      <c r="AD467" s="88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</row>
    <row r="468" spans="1:256" ht="30" customHeight="1" x14ac:dyDescent="0.25">
      <c r="A468" s="214">
        <v>871000.56</v>
      </c>
      <c r="B468" s="175" t="s">
        <v>230</v>
      </c>
      <c r="C468" s="194">
        <v>9000</v>
      </c>
      <c r="D468" s="187"/>
      <c r="E468" s="202">
        <v>6608</v>
      </c>
      <c r="F468" s="194">
        <v>9000</v>
      </c>
      <c r="G468" s="188">
        <v>3000</v>
      </c>
      <c r="H468" s="195">
        <v>1655</v>
      </c>
      <c r="I468" s="188">
        <v>3773</v>
      </c>
      <c r="J468" s="189"/>
      <c r="K468" s="189">
        <f t="shared" si="202"/>
        <v>5030.666666666667</v>
      </c>
      <c r="L468" s="189">
        <v>1277</v>
      </c>
      <c r="M468" s="189">
        <f t="shared" si="203"/>
        <v>638.5</v>
      </c>
      <c r="N468" s="188">
        <v>5000</v>
      </c>
      <c r="O468" s="188">
        <v>3300</v>
      </c>
      <c r="P468" s="188">
        <f t="shared" si="204"/>
        <v>1915.5</v>
      </c>
      <c r="Q468" s="188">
        <f>O468</f>
        <v>3300</v>
      </c>
      <c r="R468" s="188">
        <v>980</v>
      </c>
      <c r="S468" s="188">
        <f t="shared" si="205"/>
        <v>1960</v>
      </c>
      <c r="T468" s="188">
        <f>Q468</f>
        <v>3300</v>
      </c>
      <c r="U468" s="188">
        <v>980</v>
      </c>
      <c r="V468" s="190">
        <f t="shared" si="191"/>
        <v>1176</v>
      </c>
      <c r="W468" s="188">
        <v>3300</v>
      </c>
      <c r="X468" s="188">
        <v>1200</v>
      </c>
      <c r="Y468" s="188">
        <v>1500</v>
      </c>
      <c r="Z468" s="188">
        <f t="shared" si="206"/>
        <v>1500</v>
      </c>
      <c r="AA468" s="198">
        <v>2000</v>
      </c>
      <c r="AB468" s="198">
        <v>2000</v>
      </c>
      <c r="AC468" s="196"/>
      <c r="AD468" s="88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</row>
    <row r="469" spans="1:256" ht="30" customHeight="1" x14ac:dyDescent="0.25">
      <c r="A469" s="214">
        <v>871000.78</v>
      </c>
      <c r="B469" s="175" t="s">
        <v>231</v>
      </c>
      <c r="C469" s="194">
        <v>10000</v>
      </c>
      <c r="D469" s="187"/>
      <c r="E469" s="202">
        <v>23012</v>
      </c>
      <c r="F469" s="194">
        <f>15000+8997</f>
        <v>23997</v>
      </c>
      <c r="G469" s="188">
        <v>35000</v>
      </c>
      <c r="H469" s="195">
        <v>9747</v>
      </c>
      <c r="I469" s="188">
        <v>60652</v>
      </c>
      <c r="J469" s="189"/>
      <c r="K469" s="189">
        <f t="shared" si="202"/>
        <v>80869.333333333328</v>
      </c>
      <c r="L469" s="189">
        <v>45845</v>
      </c>
      <c r="M469" s="189">
        <f t="shared" si="203"/>
        <v>22922.5</v>
      </c>
      <c r="N469" s="188">
        <v>30000</v>
      </c>
      <c r="O469" s="188">
        <v>77100</v>
      </c>
      <c r="P469" s="188">
        <f t="shared" si="204"/>
        <v>68767.5</v>
      </c>
      <c r="Q469" s="188">
        <f>O469</f>
        <v>77100</v>
      </c>
      <c r="R469" s="188">
        <v>17785</v>
      </c>
      <c r="S469" s="188">
        <f t="shared" si="205"/>
        <v>35570</v>
      </c>
      <c r="T469" s="188">
        <f>Q469</f>
        <v>77100</v>
      </c>
      <c r="U469" s="188">
        <v>21262</v>
      </c>
      <c r="V469" s="190">
        <f t="shared" si="191"/>
        <v>25514.400000000001</v>
      </c>
      <c r="W469" s="188">
        <v>25000</v>
      </c>
      <c r="X469" s="188">
        <v>8360</v>
      </c>
      <c r="Y469" s="188">
        <v>10000</v>
      </c>
      <c r="Z469" s="188">
        <f t="shared" si="206"/>
        <v>10000</v>
      </c>
      <c r="AA469" s="198">
        <v>29000</v>
      </c>
      <c r="AB469" s="198">
        <v>50000</v>
      </c>
      <c r="AC469" s="196"/>
      <c r="AD469" s="88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</row>
    <row r="470" spans="1:256" ht="30" customHeight="1" x14ac:dyDescent="0.25">
      <c r="A470" s="222"/>
      <c r="B470" s="275" t="s">
        <v>204</v>
      </c>
      <c r="C470" s="211">
        <f t="shared" ref="C470:AC470" si="207">SUM(C464:C469)</f>
        <v>704000</v>
      </c>
      <c r="D470" s="211">
        <f t="shared" si="207"/>
        <v>0</v>
      </c>
      <c r="E470" s="211">
        <f t="shared" si="207"/>
        <v>675242</v>
      </c>
      <c r="F470" s="211">
        <f t="shared" si="207"/>
        <v>678997</v>
      </c>
      <c r="G470" s="212">
        <f t="shared" si="207"/>
        <v>825085</v>
      </c>
      <c r="H470" s="212">
        <f t="shared" si="207"/>
        <v>583229</v>
      </c>
      <c r="I470" s="212">
        <f t="shared" si="207"/>
        <v>777229</v>
      </c>
      <c r="J470" s="213">
        <f t="shared" si="207"/>
        <v>0</v>
      </c>
      <c r="K470" s="213">
        <f t="shared" si="207"/>
        <v>1036305.3333333333</v>
      </c>
      <c r="L470" s="213">
        <f t="shared" si="207"/>
        <v>604780</v>
      </c>
      <c r="M470" s="213">
        <f t="shared" si="207"/>
        <v>367035.5</v>
      </c>
      <c r="N470" s="212">
        <f t="shared" si="207"/>
        <v>994635</v>
      </c>
      <c r="O470" s="212">
        <f t="shared" si="207"/>
        <v>988500</v>
      </c>
      <c r="P470" s="212">
        <f t="shared" si="207"/>
        <v>971815.5</v>
      </c>
      <c r="Q470" s="212">
        <f t="shared" si="207"/>
        <v>1026097.4999999999</v>
      </c>
      <c r="R470" s="212">
        <f t="shared" si="207"/>
        <v>453646.36</v>
      </c>
      <c r="S470" s="212">
        <f t="shared" si="207"/>
        <v>907292.72</v>
      </c>
      <c r="T470" s="212">
        <f t="shared" si="207"/>
        <v>955600.72</v>
      </c>
      <c r="U470" s="212">
        <f t="shared" si="207"/>
        <v>760731</v>
      </c>
      <c r="V470" s="212">
        <f t="shared" si="207"/>
        <v>912877.20000000007</v>
      </c>
      <c r="W470" s="212">
        <f t="shared" si="207"/>
        <v>916955</v>
      </c>
      <c r="X470" s="212">
        <f t="shared" si="207"/>
        <v>760901</v>
      </c>
      <c r="Y470" s="212">
        <f t="shared" si="207"/>
        <v>910500</v>
      </c>
      <c r="Z470" s="212">
        <f t="shared" si="207"/>
        <v>906500</v>
      </c>
      <c r="AA470" s="211">
        <f t="shared" si="207"/>
        <v>742000</v>
      </c>
      <c r="AB470" s="211">
        <f t="shared" si="207"/>
        <v>712000</v>
      </c>
      <c r="AC470" s="212">
        <f t="shared" si="207"/>
        <v>4.5</v>
      </c>
      <c r="AD470" s="88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</row>
    <row r="471" spans="1:256" ht="30" customHeight="1" x14ac:dyDescent="0.25">
      <c r="A471" s="222"/>
      <c r="B471" s="275" t="s">
        <v>38</v>
      </c>
      <c r="C471" s="211">
        <f t="shared" ref="C471:AC471" si="208">C470+C463+C460+C370+C360+C327</f>
        <v>57625000</v>
      </c>
      <c r="D471" s="211">
        <f t="shared" si="208"/>
        <v>39433</v>
      </c>
      <c r="E471" s="211">
        <f t="shared" si="208"/>
        <v>62728732</v>
      </c>
      <c r="F471" s="211">
        <f t="shared" si="208"/>
        <v>63077323</v>
      </c>
      <c r="G471" s="212">
        <f t="shared" si="208"/>
        <v>71249456</v>
      </c>
      <c r="H471" s="212">
        <f t="shared" si="208"/>
        <v>99916671</v>
      </c>
      <c r="I471" s="212">
        <f t="shared" si="208"/>
        <v>54918757</v>
      </c>
      <c r="J471" s="213">
        <f t="shared" si="208"/>
        <v>44451</v>
      </c>
      <c r="K471" s="213">
        <f t="shared" si="208"/>
        <v>72991676</v>
      </c>
      <c r="L471" s="213">
        <f t="shared" si="208"/>
        <v>51534513</v>
      </c>
      <c r="M471" s="213">
        <f t="shared" si="208"/>
        <v>35107827.071428567</v>
      </c>
      <c r="N471" s="212" t="e">
        <f t="shared" si="208"/>
        <v>#REF!</v>
      </c>
      <c r="O471" s="212" t="e">
        <f t="shared" si="208"/>
        <v>#REF!</v>
      </c>
      <c r="P471" s="212" t="e">
        <f t="shared" si="208"/>
        <v>#REF!</v>
      </c>
      <c r="Q471" s="212" t="e">
        <f t="shared" si="208"/>
        <v>#REF!</v>
      </c>
      <c r="R471" s="212" t="e">
        <f t="shared" si="208"/>
        <v>#REF!</v>
      </c>
      <c r="S471" s="212" t="e">
        <f t="shared" si="208"/>
        <v>#REF!</v>
      </c>
      <c r="T471" s="212" t="e">
        <f t="shared" si="208"/>
        <v>#REF!</v>
      </c>
      <c r="U471" s="212" t="e">
        <f t="shared" si="208"/>
        <v>#REF!</v>
      </c>
      <c r="V471" s="212" t="e">
        <f t="shared" si="208"/>
        <v>#REF!</v>
      </c>
      <c r="W471" s="212" t="e">
        <f t="shared" si="208"/>
        <v>#REF!</v>
      </c>
      <c r="X471" s="212" t="e">
        <f t="shared" si="208"/>
        <v>#REF!</v>
      </c>
      <c r="Y471" s="212" t="e">
        <f t="shared" si="208"/>
        <v>#REF!</v>
      </c>
      <c r="Z471" s="212">
        <f t="shared" si="208"/>
        <v>108619100.40000001</v>
      </c>
      <c r="AA471" s="211">
        <f t="shared" si="208"/>
        <v>113121500</v>
      </c>
      <c r="AB471" s="211">
        <f t="shared" si="208"/>
        <v>121445000</v>
      </c>
      <c r="AC471" s="212">
        <f t="shared" si="208"/>
        <v>565.48</v>
      </c>
      <c r="AD471" s="88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</row>
    <row r="472" spans="1:256" ht="30" customHeight="1" x14ac:dyDescent="0.25">
      <c r="A472" s="251"/>
      <c r="B472" s="283"/>
      <c r="C472" s="194"/>
      <c r="D472" s="187"/>
      <c r="E472" s="202"/>
      <c r="F472" s="194"/>
      <c r="G472" s="188"/>
      <c r="H472" s="195"/>
      <c r="I472" s="188"/>
      <c r="J472" s="189"/>
      <c r="K472" s="189"/>
      <c r="L472" s="189"/>
      <c r="M472" s="189"/>
      <c r="N472" s="188"/>
      <c r="O472" s="188"/>
      <c r="P472" s="188"/>
      <c r="Q472" s="188"/>
      <c r="R472" s="188"/>
      <c r="S472" s="188"/>
      <c r="T472" s="188"/>
      <c r="U472" s="188"/>
      <c r="V472" s="190"/>
      <c r="W472" s="188"/>
      <c r="X472" s="188"/>
      <c r="Y472" s="188"/>
      <c r="Z472" s="188"/>
      <c r="AA472" s="198"/>
      <c r="AB472" s="198"/>
      <c r="AC472" s="196"/>
      <c r="AD472" s="88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</row>
    <row r="473" spans="1:256" ht="30" customHeight="1" x14ac:dyDescent="0.25">
      <c r="A473" s="193">
        <v>911000.11</v>
      </c>
      <c r="B473" s="175" t="s">
        <v>205</v>
      </c>
      <c r="C473" s="194">
        <v>1200000</v>
      </c>
      <c r="D473" s="187"/>
      <c r="E473" s="202">
        <v>1197584</v>
      </c>
      <c r="F473" s="194">
        <v>1200000</v>
      </c>
      <c r="G473" s="188">
        <v>100000</v>
      </c>
      <c r="H473" s="195">
        <v>865464</v>
      </c>
      <c r="I473" s="188">
        <v>145289</v>
      </c>
      <c r="J473" s="189"/>
      <c r="K473" s="189">
        <v>150000</v>
      </c>
      <c r="L473" s="189">
        <v>132358</v>
      </c>
      <c r="M473" s="189">
        <f>L473/8*5</f>
        <v>82723.75</v>
      </c>
      <c r="N473" s="190">
        <v>100000</v>
      </c>
      <c r="O473" s="190">
        <v>212500</v>
      </c>
      <c r="P473" s="190">
        <f>M473+L473</f>
        <v>215081.75</v>
      </c>
      <c r="Q473" s="190">
        <f>O473*1.045</f>
        <v>222062.49999999997</v>
      </c>
      <c r="R473" s="190">
        <f>72924*0.985</f>
        <v>71830.14</v>
      </c>
      <c r="S473" s="190">
        <f>R473*2</f>
        <v>143660.28</v>
      </c>
      <c r="T473" s="190">
        <f>S473</f>
        <v>143660.28</v>
      </c>
      <c r="U473" s="190">
        <v>114673</v>
      </c>
      <c r="V473" s="190">
        <f t="shared" si="191"/>
        <v>137607.6</v>
      </c>
      <c r="W473" s="190">
        <v>135250</v>
      </c>
      <c r="X473" s="190">
        <v>124219</v>
      </c>
      <c r="Y473" s="190">
        <v>149000</v>
      </c>
      <c r="Z473" s="190">
        <v>156000</v>
      </c>
      <c r="AA473" s="191">
        <v>106000</v>
      </c>
      <c r="AB473" s="191">
        <v>96000</v>
      </c>
      <c r="AC473" s="196">
        <v>1</v>
      </c>
      <c r="AD473" s="88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</row>
    <row r="474" spans="1:256" ht="30" customHeight="1" x14ac:dyDescent="0.25">
      <c r="A474" s="210"/>
      <c r="B474" s="275" t="s">
        <v>10</v>
      </c>
      <c r="C474" s="211">
        <f t="shared" ref="C474:AC474" si="209">SUM(C473:C473)</f>
        <v>1200000</v>
      </c>
      <c r="D474" s="211">
        <f t="shared" si="209"/>
        <v>0</v>
      </c>
      <c r="E474" s="211">
        <f t="shared" si="209"/>
        <v>1197584</v>
      </c>
      <c r="F474" s="211">
        <f t="shared" si="209"/>
        <v>1200000</v>
      </c>
      <c r="G474" s="212">
        <f t="shared" si="209"/>
        <v>100000</v>
      </c>
      <c r="H474" s="212">
        <f t="shared" si="209"/>
        <v>865464</v>
      </c>
      <c r="I474" s="212">
        <f t="shared" si="209"/>
        <v>145289</v>
      </c>
      <c r="J474" s="213">
        <f t="shared" si="209"/>
        <v>0</v>
      </c>
      <c r="K474" s="213">
        <f t="shared" si="209"/>
        <v>150000</v>
      </c>
      <c r="L474" s="213">
        <f t="shared" si="209"/>
        <v>132358</v>
      </c>
      <c r="M474" s="213">
        <f t="shared" si="209"/>
        <v>82723.75</v>
      </c>
      <c r="N474" s="212">
        <f t="shared" si="209"/>
        <v>100000</v>
      </c>
      <c r="O474" s="212">
        <f t="shared" si="209"/>
        <v>212500</v>
      </c>
      <c r="P474" s="212">
        <f t="shared" si="209"/>
        <v>215081.75</v>
      </c>
      <c r="Q474" s="212">
        <f t="shared" si="209"/>
        <v>222062.49999999997</v>
      </c>
      <c r="R474" s="212">
        <f t="shared" si="209"/>
        <v>71830.14</v>
      </c>
      <c r="S474" s="212">
        <f t="shared" si="209"/>
        <v>143660.28</v>
      </c>
      <c r="T474" s="212">
        <f t="shared" si="209"/>
        <v>143660.28</v>
      </c>
      <c r="U474" s="212">
        <f t="shared" si="209"/>
        <v>114673</v>
      </c>
      <c r="V474" s="212">
        <f t="shared" si="209"/>
        <v>137607.6</v>
      </c>
      <c r="W474" s="212">
        <f t="shared" si="209"/>
        <v>135250</v>
      </c>
      <c r="X474" s="212">
        <f t="shared" si="209"/>
        <v>124219</v>
      </c>
      <c r="Y474" s="212">
        <f t="shared" si="209"/>
        <v>149000</v>
      </c>
      <c r="Z474" s="212">
        <f t="shared" si="209"/>
        <v>156000</v>
      </c>
      <c r="AA474" s="211">
        <f t="shared" si="209"/>
        <v>106000</v>
      </c>
      <c r="AB474" s="211">
        <f t="shared" si="209"/>
        <v>96000</v>
      </c>
      <c r="AC474" s="212">
        <f t="shared" si="209"/>
        <v>1</v>
      </c>
      <c r="AD474" s="88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</row>
    <row r="475" spans="1:256" ht="30" customHeight="1" x14ac:dyDescent="0.25">
      <c r="A475" s="214"/>
      <c r="B475" s="175"/>
      <c r="C475" s="194"/>
      <c r="D475" s="187"/>
      <c r="E475" s="202"/>
      <c r="F475" s="194"/>
      <c r="G475" s="195"/>
      <c r="H475" s="195"/>
      <c r="I475" s="188"/>
      <c r="J475" s="189"/>
      <c r="K475" s="189"/>
      <c r="L475" s="189"/>
      <c r="M475" s="189"/>
      <c r="N475" s="195"/>
      <c r="O475" s="195"/>
      <c r="P475" s="188"/>
      <c r="Q475" s="188"/>
      <c r="R475" s="188"/>
      <c r="S475" s="188"/>
      <c r="T475" s="188"/>
      <c r="U475" s="188"/>
      <c r="V475" s="190"/>
      <c r="W475" s="188"/>
      <c r="X475" s="188"/>
      <c r="Y475" s="188"/>
      <c r="Z475" s="188"/>
      <c r="AA475" s="198"/>
      <c r="AB475" s="198"/>
      <c r="AC475" s="196"/>
      <c r="AD475" s="88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</row>
    <row r="476" spans="1:256" ht="30" customHeight="1" x14ac:dyDescent="0.25">
      <c r="A476" s="214">
        <v>995000.86</v>
      </c>
      <c r="B476" s="175" t="s">
        <v>206</v>
      </c>
      <c r="C476" s="202">
        <v>10000000</v>
      </c>
      <c r="D476" s="187"/>
      <c r="E476" s="202">
        <v>7864000</v>
      </c>
      <c r="F476" s="202">
        <v>8000000</v>
      </c>
      <c r="G476" s="204">
        <v>8000000</v>
      </c>
      <c r="H476" s="204">
        <v>4433000</v>
      </c>
      <c r="I476" s="188">
        <v>5041247</v>
      </c>
      <c r="J476" s="189"/>
      <c r="K476" s="189">
        <f>הכנסות!O13</f>
        <v>7200000</v>
      </c>
      <c r="L476" s="189">
        <v>4664000</v>
      </c>
      <c r="M476" s="109">
        <f>6000000-4664000</f>
        <v>1336000</v>
      </c>
      <c r="N476" s="204">
        <v>8000000</v>
      </c>
      <c r="O476" s="204">
        <v>8000000</v>
      </c>
      <c r="P476" s="188">
        <v>7200000</v>
      </c>
      <c r="Q476" s="188">
        <f>O476</f>
        <v>8000000</v>
      </c>
      <c r="R476" s="188">
        <v>5308368</v>
      </c>
      <c r="S476" s="188">
        <v>9116736</v>
      </c>
      <c r="T476" s="188">
        <v>9200000</v>
      </c>
      <c r="U476" s="188">
        <v>8335314</v>
      </c>
      <c r="V476" s="190">
        <f>U476*12/10</f>
        <v>10002376.800000001</v>
      </c>
      <c r="W476" s="188">
        <v>9500000</v>
      </c>
      <c r="X476" s="188">
        <v>7981323</v>
      </c>
      <c r="Y476" s="188">
        <v>9600000</v>
      </c>
      <c r="Z476" s="188">
        <f>Y476</f>
        <v>9600000</v>
      </c>
      <c r="AA476" s="198">
        <f>הכנסות!AE11</f>
        <v>10000000</v>
      </c>
      <c r="AB476" s="198">
        <f>הכנסות!AF11</f>
        <v>10000000</v>
      </c>
      <c r="AC476" s="196"/>
      <c r="AD476" s="88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</row>
    <row r="477" spans="1:256" ht="30" customHeight="1" x14ac:dyDescent="0.25">
      <c r="A477" s="193">
        <v>996000.39899999998</v>
      </c>
      <c r="B477" s="175" t="s">
        <v>589</v>
      </c>
      <c r="C477" s="194"/>
      <c r="D477" s="187"/>
      <c r="E477" s="202"/>
      <c r="F477" s="194"/>
      <c r="G477" s="188"/>
      <c r="H477" s="195"/>
      <c r="I477" s="188"/>
      <c r="J477" s="189"/>
      <c r="K477" s="189"/>
      <c r="L477" s="189"/>
      <c r="M477" s="189"/>
      <c r="N477" s="190"/>
      <c r="O477" s="190"/>
      <c r="P477" s="190">
        <f>L477+M477</f>
        <v>0</v>
      </c>
      <c r="Q477" s="190">
        <f>3423420+3389980</f>
        <v>6813400</v>
      </c>
      <c r="R477" s="190">
        <f>4002204*0.9826</f>
        <v>3932565.6504000002</v>
      </c>
      <c r="S477" s="190">
        <f>R477*2</f>
        <v>7865131.3008000003</v>
      </c>
      <c r="T477" s="190">
        <f>S477</f>
        <v>7865131.3008000003</v>
      </c>
      <c r="U477" s="190">
        <v>6155347</v>
      </c>
      <c r="V477" s="190">
        <f>U477*12/10</f>
        <v>7386416.4000000004</v>
      </c>
      <c r="W477" s="190">
        <v>7943782</v>
      </c>
      <c r="X477" s="190">
        <f>Y477*10/12</f>
        <v>5733333.333333333</v>
      </c>
      <c r="Y477" s="190">
        <v>6880000</v>
      </c>
      <c r="Z477" s="190">
        <v>6524000</v>
      </c>
      <c r="AA477" s="191">
        <v>6905000</v>
      </c>
      <c r="AB477" s="191">
        <f>8207000-1300000</f>
        <v>6907000</v>
      </c>
      <c r="AC477" s="196">
        <v>48.38</v>
      </c>
      <c r="AD477" s="88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</row>
    <row r="478" spans="1:256" ht="30" customHeight="1" x14ac:dyDescent="0.25">
      <c r="A478" s="214"/>
      <c r="B478" s="175"/>
      <c r="C478" s="202"/>
      <c r="D478" s="187"/>
      <c r="E478" s="202"/>
      <c r="F478" s="202"/>
      <c r="G478" s="253"/>
      <c r="H478" s="253"/>
      <c r="I478" s="188"/>
      <c r="J478" s="189"/>
      <c r="K478" s="189"/>
      <c r="L478" s="254"/>
      <c r="M478" s="254"/>
      <c r="N478" s="253"/>
      <c r="O478" s="253"/>
      <c r="P478" s="188"/>
      <c r="Q478" s="188"/>
      <c r="R478" s="255"/>
      <c r="S478" s="188"/>
      <c r="T478" s="188"/>
      <c r="U478" s="255"/>
      <c r="V478" s="190"/>
      <c r="W478" s="188"/>
      <c r="X478" s="255"/>
      <c r="Y478" s="255"/>
      <c r="Z478" s="255"/>
      <c r="AA478" s="256"/>
      <c r="AB478" s="256"/>
      <c r="AC478" s="257"/>
      <c r="AD478" s="88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</row>
    <row r="479" spans="1:256" ht="30" customHeight="1" x14ac:dyDescent="0.25">
      <c r="A479" s="210"/>
      <c r="B479" s="275" t="s">
        <v>11</v>
      </c>
      <c r="C479" s="211" t="e">
        <f>C476+#REF!+C474</f>
        <v>#REF!</v>
      </c>
      <c r="D479" s="211" t="e">
        <f>D476+#REF!+D474</f>
        <v>#REF!</v>
      </c>
      <c r="E479" s="211" t="e">
        <f>E476+#REF!+E474+E478+#REF!</f>
        <v>#REF!</v>
      </c>
      <c r="F479" s="211" t="e">
        <f>F476+#REF!+F474</f>
        <v>#REF!</v>
      </c>
      <c r="G479" s="212" t="e">
        <f>G476+#REF!+G474+G478+#REF!+#REF!+#REF!</f>
        <v>#REF!</v>
      </c>
      <c r="H479" s="212" t="e">
        <f>H476+#REF!+H474+H478+#REF!+#REF!+#REF!</f>
        <v>#REF!</v>
      </c>
      <c r="I479" s="212" t="e">
        <f>I476+#REF!+I474+I478+#REF!+#REF!+#REF!</f>
        <v>#REF!</v>
      </c>
      <c r="J479" s="213" t="e">
        <f>J476+#REF!+J474+J478+#REF!+#REF!+#REF!</f>
        <v>#REF!</v>
      </c>
      <c r="K479" s="213" t="e">
        <f>K476+#REF!+K474+K478+#REF!+#REF!+#REF!</f>
        <v>#REF!</v>
      </c>
      <c r="L479" s="213" t="e">
        <f>L476+#REF!+L474+L478+#REF!+#REF!+#REF!</f>
        <v>#REF!</v>
      </c>
      <c r="M479" s="213" t="e">
        <f>M476+#REF!+M474+M478+#REF!+#REF!+#REF!</f>
        <v>#REF!</v>
      </c>
      <c r="N479" s="212" t="e">
        <f>N476+#REF!+N474+N478+#REF!+#REF!+#REF!+N477</f>
        <v>#REF!</v>
      </c>
      <c r="O479" s="212" t="e">
        <f>O476+#REF!+O474+O478+#REF!+#REF!+#REF!+O477</f>
        <v>#REF!</v>
      </c>
      <c r="P479" s="212" t="e">
        <f>P476+#REF!+P474+P478+#REF!+#REF!+#REF!+P477</f>
        <v>#REF!</v>
      </c>
      <c r="Q479" s="212" t="e">
        <f>Q476+#REF!+Q474+Q478+#REF!+#REF!+#REF!+Q477</f>
        <v>#REF!</v>
      </c>
      <c r="R479" s="212" t="e">
        <f>R476+#REF!+R474+R478+#REF!+#REF!+#REF!+R477</f>
        <v>#REF!</v>
      </c>
      <c r="S479" s="212" t="e">
        <f>S476+#REF!+S474+S478+#REF!+#REF!+#REF!+S477</f>
        <v>#REF!</v>
      </c>
      <c r="T479" s="212" t="e">
        <f>T476+#REF!+T474+T478+#REF!+#REF!+#REF!+T477</f>
        <v>#REF!</v>
      </c>
      <c r="U479" s="212" t="e">
        <f>U476+#REF!+U474+U478+#REF!+#REF!+#REF!+U477</f>
        <v>#REF!</v>
      </c>
      <c r="V479" s="212" t="e">
        <f>V476+#REF!+V474+V478+#REF!+#REF!+#REF!+V477</f>
        <v>#REF!</v>
      </c>
      <c r="W479" s="212" t="e">
        <f>W476+#REF!+W474+W478+#REF!+#REF!+#REF!+W477</f>
        <v>#REF!</v>
      </c>
      <c r="X479" s="212" t="e">
        <f>X476+#REF!+X474+X478+#REF!+#REF!+#REF!+X477</f>
        <v>#REF!</v>
      </c>
      <c r="Y479" s="212" t="e">
        <f>Y476+#REF!+Y474+Y478+#REF!+#REF!+#REF!+Y477</f>
        <v>#REF!</v>
      </c>
      <c r="Z479" s="212">
        <f>Z476+Z474+Z478+Z477</f>
        <v>16280000</v>
      </c>
      <c r="AA479" s="212">
        <f t="shared" ref="AA479:AB479" si="210">AA476+AA474+AA478+AA477</f>
        <v>17011000</v>
      </c>
      <c r="AB479" s="212">
        <f t="shared" si="210"/>
        <v>17003000</v>
      </c>
      <c r="AC479" s="212">
        <f>AC476+AC474+AC478+AC477</f>
        <v>49.38</v>
      </c>
      <c r="AD479" s="88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</row>
    <row r="480" spans="1:256" ht="30" customHeight="1" x14ac:dyDescent="0.25">
      <c r="A480" s="214"/>
      <c r="B480" s="284"/>
      <c r="C480" s="259"/>
      <c r="D480" s="187"/>
      <c r="E480" s="202"/>
      <c r="F480" s="259"/>
      <c r="G480" s="260"/>
      <c r="H480" s="260"/>
      <c r="I480" s="188"/>
      <c r="J480" s="189"/>
      <c r="K480" s="189"/>
      <c r="L480" s="189"/>
      <c r="M480" s="189"/>
      <c r="N480" s="188"/>
      <c r="O480" s="260"/>
      <c r="P480" s="261"/>
      <c r="Q480" s="188"/>
      <c r="R480" s="188"/>
      <c r="S480" s="188"/>
      <c r="T480" s="188"/>
      <c r="U480" s="188"/>
      <c r="V480" s="190"/>
      <c r="W480" s="188"/>
      <c r="X480" s="188"/>
      <c r="Y480" s="188"/>
      <c r="Z480" s="188"/>
      <c r="AA480" s="198"/>
      <c r="AB480" s="198"/>
      <c r="AC480" s="231"/>
      <c r="AD480" s="88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</row>
    <row r="481" spans="1:256" ht="30" customHeight="1" x14ac:dyDescent="0.25">
      <c r="A481" s="262"/>
      <c r="B481" s="233" t="s">
        <v>406</v>
      </c>
      <c r="C481" s="202">
        <v>0</v>
      </c>
      <c r="D481" s="203">
        <v>6873000</v>
      </c>
      <c r="E481" s="202">
        <v>0</v>
      </c>
      <c r="F481" s="202">
        <v>0</v>
      </c>
      <c r="G481" s="204">
        <v>0</v>
      </c>
      <c r="H481" s="204">
        <v>0</v>
      </c>
      <c r="I481" s="189">
        <v>400000</v>
      </c>
      <c r="J481" s="189">
        <f>G481</f>
        <v>0</v>
      </c>
      <c r="K481" s="189">
        <v>400000</v>
      </c>
      <c r="L481" s="189">
        <v>300000</v>
      </c>
      <c r="M481" s="189">
        <v>1700000</v>
      </c>
      <c r="N481" s="204">
        <v>2000000</v>
      </c>
      <c r="O481" s="204">
        <f>1750000+1000000</f>
        <v>2750000</v>
      </c>
      <c r="P481" s="189">
        <v>2750000</v>
      </c>
      <c r="Q481" s="189">
        <v>1100000</v>
      </c>
      <c r="R481" s="189">
        <v>3113000</v>
      </c>
      <c r="S481" s="188">
        <v>3113000</v>
      </c>
      <c r="T481" s="188">
        <v>3113000</v>
      </c>
      <c r="U481" s="189">
        <v>3413000</v>
      </c>
      <c r="V481" s="190">
        <v>3413000</v>
      </c>
      <c r="W481" s="188"/>
      <c r="X481" s="188"/>
      <c r="Y481" s="188"/>
      <c r="Z481" s="188"/>
      <c r="AA481" s="198"/>
      <c r="AB481" s="198"/>
      <c r="AC481" s="231"/>
      <c r="AD481" s="88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</row>
    <row r="482" spans="1:256" ht="30" customHeight="1" x14ac:dyDescent="0.25">
      <c r="A482" s="262"/>
      <c r="B482" s="175" t="s">
        <v>425</v>
      </c>
      <c r="C482" s="202"/>
      <c r="D482" s="203"/>
      <c r="E482" s="202"/>
      <c r="F482" s="202"/>
      <c r="G482" s="204"/>
      <c r="H482" s="204"/>
      <c r="I482" s="189">
        <v>2000000</v>
      </c>
      <c r="J482" s="189"/>
      <c r="K482" s="189">
        <v>2000000</v>
      </c>
      <c r="L482" s="189"/>
      <c r="M482" s="189">
        <v>2212000</v>
      </c>
      <c r="N482" s="204">
        <v>398300</v>
      </c>
      <c r="O482" s="204">
        <v>1747500</v>
      </c>
      <c r="P482" s="189">
        <f>L482+M482-1500000</f>
        <v>712000</v>
      </c>
      <c r="Q482" s="189">
        <v>0</v>
      </c>
      <c r="R482" s="189">
        <v>0</v>
      </c>
      <c r="S482" s="188">
        <v>1960000</v>
      </c>
      <c r="T482" s="188">
        <v>1728500</v>
      </c>
      <c r="U482" s="189">
        <v>0</v>
      </c>
      <c r="V482" s="190">
        <f>U482*12/10</f>
        <v>0</v>
      </c>
      <c r="W482" s="188"/>
      <c r="X482" s="188"/>
      <c r="Y482" s="188"/>
      <c r="Z482" s="188"/>
      <c r="AA482" s="198"/>
      <c r="AB482" s="198">
        <v>4206000</v>
      </c>
      <c r="AC482" s="231"/>
      <c r="AD482" s="88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</row>
    <row r="483" spans="1:256" ht="30" customHeight="1" x14ac:dyDescent="0.25">
      <c r="A483" s="263"/>
      <c r="B483" s="285" t="s">
        <v>424</v>
      </c>
      <c r="C483" s="211">
        <v>0</v>
      </c>
      <c r="D483" s="215"/>
      <c r="E483" s="211">
        <v>0</v>
      </c>
      <c r="F483" s="211">
        <f>21602000*0.15</f>
        <v>3240300</v>
      </c>
      <c r="G483" s="212" t="e">
        <f>SUM(#REF!)</f>
        <v>#REF!</v>
      </c>
      <c r="H483" s="212" t="e">
        <f>SUM(#REF!)</f>
        <v>#REF!</v>
      </c>
      <c r="I483" s="212">
        <f t="shared" ref="I483:P483" si="211">SUM(I482:I482)</f>
        <v>2000000</v>
      </c>
      <c r="J483" s="213">
        <f t="shared" si="211"/>
        <v>0</v>
      </c>
      <c r="K483" s="213">
        <f t="shared" si="211"/>
        <v>2000000</v>
      </c>
      <c r="L483" s="213">
        <f t="shared" si="211"/>
        <v>0</v>
      </c>
      <c r="M483" s="213">
        <f t="shared" si="211"/>
        <v>2212000</v>
      </c>
      <c r="N483" s="212">
        <f t="shared" si="211"/>
        <v>398300</v>
      </c>
      <c r="O483" s="212">
        <f t="shared" si="211"/>
        <v>1747500</v>
      </c>
      <c r="P483" s="212">
        <f t="shared" si="211"/>
        <v>712000</v>
      </c>
      <c r="Q483" s="212" t="e">
        <f>Q482+#REF!+#REF!+#REF!+#REF!+#REF!+#REF!</f>
        <v>#REF!</v>
      </c>
      <c r="R483" s="212" t="e">
        <f>R482+#REF!+#REF!+#REF!+#REF!+#REF!+#REF!</f>
        <v>#REF!</v>
      </c>
      <c r="S483" s="212" t="e">
        <f>S482+#REF!+#REF!+#REF!+#REF!+#REF!+#REF!</f>
        <v>#REF!</v>
      </c>
      <c r="T483" s="212" t="e">
        <f>T482+#REF!+#REF!+#REF!+#REF!+#REF!+#REF!</f>
        <v>#REF!</v>
      </c>
      <c r="U483" s="212" t="e">
        <f>U482+#REF!+#REF!+#REF!+#REF!+#REF!+#REF!</f>
        <v>#REF!</v>
      </c>
      <c r="V483" s="212" t="e">
        <f>V482+#REF!+#REF!+#REF!+#REF!+#REF!+#REF!</f>
        <v>#REF!</v>
      </c>
      <c r="W483" s="212">
        <f t="shared" ref="W483:AB483" si="212">W482</f>
        <v>0</v>
      </c>
      <c r="X483" s="212">
        <f t="shared" si="212"/>
        <v>0</v>
      </c>
      <c r="Y483" s="212">
        <f t="shared" si="212"/>
        <v>0</v>
      </c>
      <c r="Z483" s="212">
        <f t="shared" si="212"/>
        <v>0</v>
      </c>
      <c r="AA483" s="211">
        <f t="shared" si="212"/>
        <v>0</v>
      </c>
      <c r="AB483" s="211">
        <f t="shared" si="212"/>
        <v>4206000</v>
      </c>
      <c r="AC483" s="258">
        <f>SUM(AC482:AC482)</f>
        <v>0</v>
      </c>
      <c r="AD483" s="88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</row>
    <row r="484" spans="1:256" ht="30" customHeight="1" x14ac:dyDescent="0.25">
      <c r="A484" s="214"/>
      <c r="B484" s="282"/>
      <c r="C484" s="194"/>
      <c r="D484" s="187"/>
      <c r="E484" s="202"/>
      <c r="F484" s="194"/>
      <c r="G484" s="195"/>
      <c r="H484" s="195"/>
      <c r="I484" s="195"/>
      <c r="J484" s="204"/>
      <c r="K484" s="189">
        <f>I484*4/3</f>
        <v>0</v>
      </c>
      <c r="L484" s="189"/>
      <c r="M484" s="189"/>
      <c r="N484" s="195"/>
      <c r="O484" s="195"/>
      <c r="P484" s="188"/>
      <c r="Q484" s="188"/>
      <c r="R484" s="188"/>
      <c r="S484" s="188"/>
      <c r="T484" s="188"/>
      <c r="U484" s="188"/>
      <c r="V484" s="190">
        <f>U484*12/10</f>
        <v>0</v>
      </c>
      <c r="W484" s="188"/>
      <c r="X484" s="188"/>
      <c r="Y484" s="188"/>
      <c r="Z484" s="188"/>
      <c r="AA484" s="264"/>
      <c r="AB484" s="264"/>
      <c r="AC484" s="196"/>
      <c r="AD484" s="88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</row>
    <row r="485" spans="1:256" ht="30" customHeight="1" x14ac:dyDescent="0.25">
      <c r="A485" s="265"/>
      <c r="B485" s="286" t="s">
        <v>12</v>
      </c>
      <c r="C485" s="266" t="e">
        <f t="shared" ref="C485:P485" si="213">C479+C471+C145+C70+C481+C483</f>
        <v>#REF!</v>
      </c>
      <c r="D485" s="266" t="e">
        <f t="shared" si="213"/>
        <v>#REF!</v>
      </c>
      <c r="E485" s="266" t="e">
        <f t="shared" si="213"/>
        <v>#REF!</v>
      </c>
      <c r="F485" s="266" t="e">
        <f t="shared" si="213"/>
        <v>#REF!</v>
      </c>
      <c r="G485" s="267" t="e">
        <f t="shared" si="213"/>
        <v>#REF!</v>
      </c>
      <c r="H485" s="267" t="e">
        <f t="shared" si="213"/>
        <v>#REF!</v>
      </c>
      <c r="I485" s="267" t="e">
        <f t="shared" si="213"/>
        <v>#REF!</v>
      </c>
      <c r="J485" s="268" t="e">
        <f t="shared" si="213"/>
        <v>#REF!</v>
      </c>
      <c r="K485" s="268" t="e">
        <f t="shared" si="213"/>
        <v>#REF!</v>
      </c>
      <c r="L485" s="268" t="e">
        <f t="shared" si="213"/>
        <v>#REF!</v>
      </c>
      <c r="M485" s="268" t="e">
        <f t="shared" si="213"/>
        <v>#REF!</v>
      </c>
      <c r="N485" s="267" t="e">
        <f t="shared" si="213"/>
        <v>#REF!</v>
      </c>
      <c r="O485" s="267" t="e">
        <f t="shared" si="213"/>
        <v>#REF!</v>
      </c>
      <c r="P485" s="267" t="e">
        <f t="shared" si="213"/>
        <v>#REF!</v>
      </c>
      <c r="Q485" s="267" t="e">
        <f>Q479+Q471+Q145+Q70+Q481+Q483+#REF!+#REF!</f>
        <v>#REF!</v>
      </c>
      <c r="R485" s="267" t="e">
        <f>R479+R471+R145+R70+R481+R483+#REF!+#REF!</f>
        <v>#REF!</v>
      </c>
      <c r="S485" s="267" t="e">
        <f>S479+S471+S145+S70+S481+S483+#REF!+#REF!</f>
        <v>#REF!</v>
      </c>
      <c r="T485" s="267" t="e">
        <f>T479+T471+T145+T70+T481+T483+#REF!+#REF!</f>
        <v>#REF!</v>
      </c>
      <c r="U485" s="267" t="e">
        <f>U479+U471+U145+U70+U481+U483+#REF!+#REF!</f>
        <v>#REF!</v>
      </c>
      <c r="V485" s="267" t="e">
        <f>V479+V471+V145+V70+V481+V483+#REF!+#REF!</f>
        <v>#REF!</v>
      </c>
      <c r="W485" s="267" t="e">
        <f t="shared" ref="W485:AC485" si="214">W479+W471+W145+W70+W481+W483</f>
        <v>#REF!</v>
      </c>
      <c r="X485" s="267" t="e">
        <f t="shared" si="214"/>
        <v>#REF!</v>
      </c>
      <c r="Y485" s="267" t="e">
        <f t="shared" si="214"/>
        <v>#REF!</v>
      </c>
      <c r="Z485" s="267">
        <f t="shared" si="214"/>
        <v>161935100.40000001</v>
      </c>
      <c r="AA485" s="266">
        <f t="shared" si="214"/>
        <v>168212400</v>
      </c>
      <c r="AB485" s="266">
        <f t="shared" si="214"/>
        <v>181058000</v>
      </c>
      <c r="AC485" s="267">
        <f t="shared" si="214"/>
        <v>687.06</v>
      </c>
      <c r="AD485" s="88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</row>
    <row r="486" spans="1:256" ht="23.1" customHeight="1" x14ac:dyDescent="0.25">
      <c r="A486" s="6"/>
      <c r="B486" s="287"/>
      <c r="C486" s="7"/>
      <c r="D486" s="2"/>
      <c r="E486" s="8"/>
      <c r="F486" s="8"/>
      <c r="G486" s="8"/>
      <c r="H486" s="8"/>
      <c r="I486" s="8"/>
      <c r="J486" s="72"/>
      <c r="K486" s="72"/>
      <c r="L486" s="72"/>
      <c r="M486" s="72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6"/>
      <c r="AB486" s="86"/>
      <c r="AC486" s="83"/>
      <c r="AD486" s="88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</row>
    <row r="487" spans="1:256" ht="23.1" customHeight="1" x14ac:dyDescent="0.25">
      <c r="A487" s="6"/>
      <c r="B487" s="287"/>
      <c r="C487" s="7"/>
      <c r="D487" s="9"/>
      <c r="E487" s="8"/>
      <c r="F487" s="8"/>
      <c r="G487" s="8"/>
      <c r="H487" s="8"/>
      <c r="I487" s="8"/>
      <c r="J487" s="72"/>
      <c r="K487" s="72"/>
      <c r="L487" s="72"/>
      <c r="M487" s="72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6"/>
      <c r="AB487" s="86"/>
      <c r="AC487" s="83"/>
      <c r="AD487" s="88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</row>
    <row r="488" spans="1:256" ht="23.1" customHeight="1" x14ac:dyDescent="0.25">
      <c r="A488" s="6"/>
      <c r="B488" s="287"/>
      <c r="C488" s="10"/>
      <c r="D488" s="9"/>
      <c r="E488" s="8"/>
      <c r="F488" s="8"/>
      <c r="G488" s="8"/>
      <c r="H488" s="8"/>
      <c r="I488" s="8"/>
      <c r="J488" s="72"/>
      <c r="K488" s="72"/>
      <c r="L488" s="72"/>
      <c r="M488" s="72"/>
      <c r="N488" s="8"/>
      <c r="O488" s="8"/>
      <c r="P488" s="8"/>
      <c r="Q488" s="8"/>
      <c r="R488" s="8"/>
      <c r="S488" s="8"/>
      <c r="T488" s="8"/>
      <c r="U488" s="5"/>
      <c r="V488" s="5"/>
      <c r="W488" s="5"/>
      <c r="X488" s="5"/>
      <c r="Y488" s="5"/>
      <c r="Z488" s="5"/>
      <c r="AA488" s="69"/>
      <c r="AB488" s="69"/>
      <c r="AC488" s="84"/>
      <c r="AD488" s="88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</row>
    <row r="489" spans="1:256" ht="23.1" customHeight="1" x14ac:dyDescent="0.25">
      <c r="A489" s="6"/>
      <c r="B489" s="287"/>
      <c r="C489" s="8"/>
      <c r="D489" s="9"/>
      <c r="E489" s="8"/>
      <c r="F489" s="8"/>
      <c r="G489" s="8"/>
      <c r="H489" s="8"/>
      <c r="I489" s="8"/>
      <c r="J489" s="72"/>
      <c r="K489" s="72"/>
      <c r="L489" s="72"/>
      <c r="M489" s="72"/>
      <c r="N489" s="8"/>
      <c r="O489" s="8"/>
      <c r="P489" s="8"/>
      <c r="Q489" s="8"/>
      <c r="R489" s="8"/>
      <c r="S489" s="8"/>
      <c r="T489" s="8"/>
      <c r="U489" s="5"/>
      <c r="V489" s="5"/>
      <c r="W489" s="5"/>
      <c r="X489" s="5"/>
      <c r="Y489" s="5"/>
      <c r="Z489" s="5"/>
      <c r="AA489" s="69"/>
      <c r="AB489" s="69"/>
      <c r="AC489" s="84"/>
      <c r="AD489" s="88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</row>
    <row r="490" spans="1:256" ht="23.1" customHeight="1" x14ac:dyDescent="0.25">
      <c r="A490" s="6"/>
      <c r="B490" s="287"/>
      <c r="C490" s="11"/>
      <c r="D490" s="9"/>
      <c r="E490" s="8"/>
      <c r="F490" s="8"/>
      <c r="G490" s="8"/>
      <c r="H490" s="8"/>
      <c r="I490" s="8"/>
      <c r="J490" s="72"/>
      <c r="K490" s="72"/>
      <c r="L490" s="72"/>
      <c r="M490" s="72"/>
      <c r="N490" s="8"/>
      <c r="O490" s="8"/>
      <c r="P490" s="8"/>
      <c r="Q490" s="8"/>
      <c r="R490" s="8"/>
      <c r="S490" s="8"/>
      <c r="T490" s="8"/>
      <c r="U490" s="5"/>
      <c r="V490" s="5"/>
      <c r="W490" s="5"/>
      <c r="X490" s="5"/>
      <c r="Y490" s="5"/>
      <c r="Z490" s="5"/>
      <c r="AA490" s="69"/>
      <c r="AB490" s="69"/>
      <c r="AC490" s="84"/>
      <c r="AD490" s="88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</row>
    <row r="491" spans="1:256" ht="23.1" customHeight="1" x14ac:dyDescent="0.25">
      <c r="A491" s="6"/>
      <c r="B491" s="287"/>
      <c r="C491" s="11"/>
      <c r="D491" s="9"/>
      <c r="E491" s="8"/>
      <c r="F491" s="8"/>
      <c r="G491" s="8"/>
      <c r="H491" s="8"/>
      <c r="I491" s="8"/>
      <c r="J491" s="72"/>
      <c r="K491" s="72"/>
      <c r="L491" s="72"/>
      <c r="M491" s="72"/>
      <c r="N491" s="8"/>
      <c r="O491" s="8"/>
      <c r="P491" s="8"/>
      <c r="Q491" s="8"/>
      <c r="R491" s="8"/>
      <c r="S491" s="8"/>
      <c r="T491" s="8"/>
      <c r="U491" s="5"/>
      <c r="V491" s="5"/>
      <c r="W491" s="5"/>
      <c r="X491" s="5"/>
      <c r="Y491" s="5"/>
      <c r="Z491" s="5"/>
      <c r="AA491" s="69"/>
      <c r="AB491" s="69"/>
      <c r="AC491" s="84"/>
      <c r="AD491" s="88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</row>
    <row r="492" spans="1:256" ht="23.1" customHeight="1" x14ac:dyDescent="0.25">
      <c r="A492" s="6"/>
      <c r="B492" s="287"/>
      <c r="C492" s="9"/>
      <c r="D492" s="9"/>
      <c r="E492" s="8"/>
      <c r="F492" s="8"/>
      <c r="G492" s="8"/>
      <c r="H492" s="8"/>
      <c r="I492" s="8"/>
      <c r="J492" s="72"/>
      <c r="K492" s="72"/>
      <c r="L492" s="72"/>
      <c r="M492" s="72"/>
      <c r="N492" s="8"/>
      <c r="O492" s="8"/>
      <c r="P492" s="8"/>
      <c r="Q492" s="8"/>
      <c r="R492" s="8"/>
      <c r="S492" s="8"/>
      <c r="T492" s="8"/>
      <c r="U492" s="5"/>
      <c r="V492" s="5"/>
      <c r="W492" s="5"/>
      <c r="X492" s="5"/>
      <c r="Y492" s="5"/>
      <c r="Z492" s="5"/>
      <c r="AA492" s="69"/>
      <c r="AB492" s="69"/>
      <c r="AC492" s="84"/>
      <c r="AD492" s="88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</row>
    <row r="493" spans="1:256" ht="23.1" customHeight="1" x14ac:dyDescent="0.25">
      <c r="A493" s="6"/>
      <c r="B493" s="287"/>
      <c r="C493" s="9"/>
      <c r="D493" s="9"/>
      <c r="E493" s="8"/>
      <c r="F493" s="8"/>
      <c r="G493" s="8"/>
      <c r="H493" s="8"/>
      <c r="I493" s="8"/>
      <c r="J493" s="72"/>
      <c r="K493" s="72"/>
      <c r="L493" s="72"/>
      <c r="M493" s="72"/>
      <c r="N493" s="8"/>
      <c r="O493" s="8"/>
      <c r="P493" s="8"/>
      <c r="Q493" s="8"/>
      <c r="R493" s="8"/>
      <c r="S493" s="8"/>
      <c r="T493" s="8"/>
      <c r="U493" s="5"/>
      <c r="V493" s="5"/>
      <c r="W493" s="5"/>
      <c r="X493" s="5"/>
      <c r="Y493" s="5"/>
      <c r="Z493" s="5"/>
      <c r="AA493" s="69"/>
      <c r="AB493" s="69"/>
      <c r="AC493" s="84"/>
      <c r="AD493" s="88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</row>
    <row r="494" spans="1:256" ht="23.1" customHeight="1" x14ac:dyDescent="0.25">
      <c r="A494" s="6"/>
      <c r="B494" s="287"/>
      <c r="C494" s="9"/>
      <c r="D494" s="9"/>
      <c r="E494" s="8"/>
      <c r="F494" s="8"/>
      <c r="G494" s="8"/>
      <c r="H494" s="8"/>
      <c r="I494" s="8"/>
      <c r="J494" s="72"/>
      <c r="K494" s="72"/>
      <c r="L494" s="72"/>
      <c r="M494" s="72"/>
      <c r="N494" s="8"/>
      <c r="O494" s="8"/>
      <c r="P494" s="8"/>
      <c r="Q494" s="8"/>
      <c r="R494" s="8"/>
      <c r="S494" s="8"/>
      <c r="T494" s="8"/>
      <c r="U494" s="5"/>
      <c r="V494" s="5"/>
      <c r="W494" s="5"/>
      <c r="X494" s="5"/>
      <c r="Y494" s="5"/>
      <c r="Z494" s="5"/>
      <c r="AA494" s="69"/>
      <c r="AB494" s="69"/>
      <c r="AC494" s="84"/>
      <c r="AD494" s="88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</row>
    <row r="495" spans="1:256" ht="23.1" customHeight="1" x14ac:dyDescent="0.25">
      <c r="A495" s="6"/>
      <c r="B495" s="287"/>
      <c r="C495" s="9"/>
      <c r="D495" s="9"/>
      <c r="E495" s="8"/>
      <c r="F495" s="8"/>
      <c r="G495" s="8"/>
      <c r="H495" s="8"/>
      <c r="I495" s="8"/>
      <c r="J495" s="72"/>
      <c r="K495" s="72"/>
      <c r="L495" s="72"/>
      <c r="M495" s="72"/>
      <c r="N495" s="8"/>
      <c r="O495" s="8"/>
      <c r="P495" s="8"/>
      <c r="Q495" s="8"/>
      <c r="R495" s="8"/>
      <c r="S495" s="8"/>
      <c r="T495" s="8"/>
      <c r="U495" s="5"/>
      <c r="V495" s="5"/>
      <c r="W495" s="5"/>
      <c r="X495" s="5"/>
      <c r="Y495" s="5"/>
      <c r="Z495" s="5"/>
      <c r="AA495" s="69"/>
      <c r="AB495" s="69"/>
      <c r="AC495" s="84"/>
      <c r="AD495" s="88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</row>
    <row r="496" spans="1:256" ht="23.1" customHeight="1" x14ac:dyDescent="0.25">
      <c r="A496" s="6"/>
      <c r="B496" s="287"/>
      <c r="C496" s="9"/>
      <c r="D496" s="9"/>
      <c r="E496" s="8"/>
      <c r="F496" s="8"/>
      <c r="G496" s="8"/>
      <c r="H496" s="8"/>
      <c r="I496" s="8"/>
      <c r="J496" s="72"/>
      <c r="K496" s="72"/>
      <c r="L496" s="72"/>
      <c r="M496" s="72"/>
      <c r="N496" s="8"/>
      <c r="O496" s="8"/>
      <c r="P496" s="8"/>
      <c r="Q496" s="8"/>
      <c r="R496" s="8"/>
      <c r="S496" s="8"/>
      <c r="T496" s="8"/>
      <c r="U496" s="5"/>
      <c r="V496" s="5"/>
      <c r="W496" s="5"/>
      <c r="X496" s="5"/>
      <c r="Y496" s="5"/>
      <c r="Z496" s="5"/>
      <c r="AA496" s="69"/>
      <c r="AB496" s="69"/>
      <c r="AC496" s="84"/>
      <c r="AD496" s="88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</row>
    <row r="497" spans="1:256" ht="23.1" customHeight="1" x14ac:dyDescent="0.25">
      <c r="A497" s="6"/>
      <c r="B497" s="287"/>
      <c r="C497" s="9"/>
      <c r="D497" s="9"/>
      <c r="E497" s="8"/>
      <c r="F497" s="8"/>
      <c r="G497" s="8"/>
      <c r="H497" s="8"/>
      <c r="I497" s="8"/>
      <c r="J497" s="72"/>
      <c r="K497" s="72"/>
      <c r="L497" s="72"/>
      <c r="M497" s="72"/>
      <c r="N497" s="8"/>
      <c r="O497" s="8"/>
      <c r="P497" s="8"/>
      <c r="Q497" s="8"/>
      <c r="R497" s="8"/>
      <c r="S497" s="8"/>
      <c r="T497" s="8"/>
      <c r="U497" s="5"/>
      <c r="V497" s="5"/>
      <c r="W497" s="5"/>
      <c r="X497" s="5"/>
      <c r="Y497" s="5"/>
      <c r="Z497" s="5"/>
      <c r="AA497" s="69"/>
      <c r="AB497" s="69"/>
      <c r="AC497" s="84"/>
      <c r="AD497" s="88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</row>
    <row r="498" spans="1:256" ht="23.1" customHeight="1" x14ac:dyDescent="0.25">
      <c r="A498" s="6"/>
      <c r="B498" s="287"/>
      <c r="C498" s="9"/>
      <c r="D498" s="9"/>
      <c r="E498" s="8"/>
      <c r="F498" s="8"/>
      <c r="G498" s="8"/>
      <c r="H498" s="8"/>
      <c r="I498" s="8"/>
      <c r="J498" s="72"/>
      <c r="K498" s="72"/>
      <c r="L498" s="72"/>
      <c r="M498" s="72"/>
      <c r="N498" s="8"/>
      <c r="O498" s="8"/>
      <c r="P498" s="8"/>
      <c r="Q498" s="8"/>
      <c r="R498" s="8"/>
      <c r="S498" s="8"/>
      <c r="T498" s="8"/>
      <c r="U498" s="5"/>
      <c r="V498" s="5"/>
      <c r="W498" s="5"/>
      <c r="X498" s="5"/>
      <c r="Y498" s="5"/>
      <c r="Z498" s="5"/>
      <c r="AA498" s="69"/>
      <c r="AB498" s="69"/>
      <c r="AC498" s="84"/>
      <c r="AD498" s="88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</row>
    <row r="499" spans="1:256" ht="23.1" customHeight="1" x14ac:dyDescent="0.25">
      <c r="A499" s="6"/>
      <c r="B499" s="287"/>
      <c r="C499" s="9"/>
      <c r="D499" s="9"/>
      <c r="E499" s="8"/>
      <c r="F499" s="8"/>
      <c r="G499" s="8"/>
      <c r="H499" s="8"/>
      <c r="I499" s="8"/>
      <c r="J499" s="72"/>
      <c r="K499" s="72"/>
      <c r="L499" s="72"/>
      <c r="M499" s="72"/>
      <c r="N499" s="8"/>
      <c r="O499" s="8"/>
      <c r="P499" s="8"/>
      <c r="Q499" s="8"/>
      <c r="R499" s="8"/>
      <c r="S499" s="8"/>
      <c r="T499" s="8"/>
      <c r="U499" s="5"/>
      <c r="V499" s="5"/>
      <c r="W499" s="5"/>
      <c r="X499" s="5"/>
      <c r="Y499" s="5"/>
      <c r="Z499" s="5"/>
      <c r="AA499" s="69"/>
      <c r="AB499" s="69"/>
      <c r="AC499" s="84"/>
      <c r="AD499" s="88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</row>
    <row r="500" spans="1:256" ht="23.1" customHeight="1" x14ac:dyDescent="0.25">
      <c r="A500" s="6"/>
      <c r="B500" s="287"/>
      <c r="C500" s="9"/>
      <c r="D500" s="9"/>
      <c r="E500" s="8"/>
      <c r="F500" s="8"/>
      <c r="G500" s="8"/>
      <c r="H500" s="8"/>
      <c r="I500" s="8"/>
      <c r="J500" s="72"/>
      <c r="K500" s="72"/>
      <c r="L500" s="72"/>
      <c r="M500" s="72"/>
      <c r="N500" s="8"/>
      <c r="O500" s="8"/>
      <c r="P500" s="8"/>
      <c r="Q500" s="8"/>
      <c r="R500" s="8"/>
      <c r="S500" s="8"/>
      <c r="T500" s="8"/>
      <c r="U500" s="5"/>
      <c r="V500" s="5"/>
      <c r="W500" s="5"/>
      <c r="X500" s="5"/>
      <c r="Y500" s="5"/>
      <c r="Z500" s="5"/>
      <c r="AA500" s="69"/>
      <c r="AB500" s="69"/>
      <c r="AC500" s="84"/>
      <c r="AD500" s="88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</row>
    <row r="501" spans="1:256" ht="23.1" customHeight="1" x14ac:dyDescent="0.25">
      <c r="A501" s="6"/>
      <c r="B501" s="287"/>
      <c r="C501" s="9"/>
      <c r="D501" s="9"/>
      <c r="E501" s="8"/>
      <c r="F501" s="8"/>
      <c r="G501" s="8"/>
      <c r="H501" s="8"/>
      <c r="I501" s="8"/>
      <c r="J501" s="72"/>
      <c r="K501" s="72"/>
      <c r="L501" s="72"/>
      <c r="M501" s="72"/>
      <c r="N501" s="8"/>
      <c r="O501" s="8"/>
      <c r="P501" s="8"/>
      <c r="Q501" s="8"/>
      <c r="R501" s="8"/>
      <c r="S501" s="8"/>
      <c r="T501" s="8"/>
      <c r="U501" s="5"/>
      <c r="V501" s="5"/>
      <c r="W501" s="5"/>
      <c r="X501" s="5"/>
      <c r="Y501" s="5"/>
      <c r="Z501" s="5"/>
      <c r="AA501" s="69"/>
      <c r="AB501" s="69"/>
      <c r="AC501" s="84"/>
      <c r="AD501" s="88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</row>
    <row r="502" spans="1:256" ht="23.1" customHeight="1" x14ac:dyDescent="0.25">
      <c r="A502" s="6"/>
      <c r="B502" s="287"/>
      <c r="C502" s="9"/>
      <c r="D502" s="9"/>
      <c r="E502" s="8"/>
      <c r="F502" s="8"/>
      <c r="G502" s="8"/>
      <c r="H502" s="8"/>
      <c r="I502" s="8"/>
      <c r="J502" s="72"/>
      <c r="K502" s="72"/>
      <c r="L502" s="72"/>
      <c r="M502" s="72"/>
      <c r="N502" s="8"/>
      <c r="O502" s="8"/>
      <c r="P502" s="8"/>
      <c r="Q502" s="8"/>
      <c r="R502" s="8"/>
      <c r="S502" s="8"/>
      <c r="T502" s="8"/>
      <c r="U502" s="5"/>
      <c r="V502" s="5"/>
      <c r="W502" s="5"/>
      <c r="X502" s="5"/>
      <c r="Y502" s="5"/>
      <c r="Z502" s="5"/>
      <c r="AA502" s="69"/>
      <c r="AB502" s="69"/>
      <c r="AC502" s="84"/>
      <c r="AD502" s="88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</row>
    <row r="503" spans="1:256" ht="23.1" customHeight="1" x14ac:dyDescent="0.25">
      <c r="A503" s="6"/>
      <c r="B503" s="287"/>
      <c r="C503" s="9"/>
      <c r="D503" s="9"/>
      <c r="E503" s="8"/>
      <c r="F503" s="8"/>
      <c r="G503" s="8"/>
      <c r="H503" s="8"/>
      <c r="I503" s="8"/>
      <c r="J503" s="72"/>
      <c r="K503" s="72"/>
      <c r="L503" s="72"/>
      <c r="M503" s="72"/>
      <c r="N503" s="8"/>
      <c r="O503" s="8"/>
      <c r="P503" s="8"/>
      <c r="Q503" s="8"/>
      <c r="R503" s="8"/>
      <c r="S503" s="8"/>
      <c r="T503" s="8"/>
      <c r="U503" s="5"/>
      <c r="V503" s="5"/>
      <c r="W503" s="5"/>
      <c r="X503" s="5"/>
      <c r="Y503" s="5"/>
      <c r="Z503" s="5"/>
      <c r="AA503" s="69"/>
      <c r="AB503" s="69"/>
      <c r="AC503" s="84"/>
      <c r="AD503" s="88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</row>
    <row r="504" spans="1:256" ht="23.1" customHeight="1" x14ac:dyDescent="0.25">
      <c r="A504" s="6"/>
      <c r="B504" s="287"/>
      <c r="C504" s="9"/>
      <c r="D504" s="9"/>
      <c r="E504" s="8"/>
      <c r="F504" s="8"/>
      <c r="G504" s="8"/>
      <c r="H504" s="8"/>
      <c r="I504" s="8"/>
      <c r="J504" s="72"/>
      <c r="K504" s="72"/>
      <c r="L504" s="72"/>
      <c r="M504" s="72"/>
      <c r="N504" s="8"/>
      <c r="O504" s="8"/>
      <c r="P504" s="8"/>
      <c r="Q504" s="8"/>
      <c r="R504" s="8"/>
      <c r="S504" s="8"/>
      <c r="T504" s="8"/>
      <c r="U504" s="5"/>
      <c r="V504" s="5"/>
      <c r="W504" s="5"/>
      <c r="X504" s="5"/>
      <c r="Y504" s="5"/>
      <c r="Z504" s="5"/>
      <c r="AA504" s="69"/>
      <c r="AB504" s="69"/>
      <c r="AC504" s="84"/>
      <c r="AD504" s="88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</row>
    <row r="505" spans="1:256" ht="23.1" customHeight="1" x14ac:dyDescent="0.25">
      <c r="A505" s="6"/>
      <c r="B505" s="287"/>
      <c r="C505" s="9"/>
      <c r="D505" s="9"/>
      <c r="E505" s="8"/>
      <c r="F505" s="8"/>
      <c r="G505" s="8"/>
      <c r="H505" s="8"/>
      <c r="I505" s="8"/>
      <c r="J505" s="72"/>
      <c r="K505" s="72"/>
      <c r="L505" s="72"/>
      <c r="M505" s="72"/>
      <c r="N505" s="8"/>
      <c r="O505" s="8"/>
      <c r="P505" s="8"/>
      <c r="Q505" s="8"/>
      <c r="R505" s="8"/>
      <c r="S505" s="8"/>
      <c r="T505" s="8"/>
      <c r="U505" s="5"/>
      <c r="V505" s="5"/>
      <c r="W505" s="5"/>
      <c r="X505" s="5"/>
      <c r="Y505" s="5"/>
      <c r="Z505" s="5"/>
      <c r="AA505" s="69"/>
      <c r="AB505" s="69"/>
      <c r="AC505" s="84"/>
      <c r="AD505" s="88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</row>
    <row r="506" spans="1:256" ht="23.1" customHeight="1" x14ac:dyDescent="0.25">
      <c r="A506" s="6"/>
      <c r="B506" s="287"/>
      <c r="C506" s="9"/>
      <c r="D506" s="9"/>
      <c r="E506" s="8"/>
      <c r="F506" s="8"/>
      <c r="G506" s="8"/>
      <c r="H506" s="8"/>
      <c r="I506" s="8"/>
      <c r="J506" s="72"/>
      <c r="K506" s="72"/>
      <c r="L506" s="72"/>
      <c r="M506" s="72"/>
      <c r="N506" s="8"/>
      <c r="O506" s="8"/>
      <c r="P506" s="8"/>
      <c r="Q506" s="8"/>
      <c r="R506" s="8"/>
      <c r="S506" s="8"/>
      <c r="T506" s="8"/>
      <c r="U506" s="5"/>
      <c r="V506" s="5"/>
      <c r="W506" s="5"/>
      <c r="X506" s="5"/>
      <c r="Y506" s="5"/>
      <c r="Z506" s="5"/>
      <c r="AA506" s="69"/>
      <c r="AB506" s="69"/>
      <c r="AC506" s="84"/>
      <c r="AD506" s="88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</row>
    <row r="507" spans="1:256" ht="23.1" customHeight="1" x14ac:dyDescent="0.25">
      <c r="A507" s="6"/>
      <c r="B507" s="287"/>
      <c r="C507" s="9"/>
      <c r="D507" s="9"/>
      <c r="E507" s="8"/>
      <c r="F507" s="8"/>
      <c r="G507" s="8"/>
      <c r="H507" s="8"/>
      <c r="I507" s="8"/>
      <c r="J507" s="72"/>
      <c r="K507" s="72"/>
      <c r="L507" s="72"/>
      <c r="M507" s="72"/>
      <c r="N507" s="8"/>
      <c r="O507" s="8"/>
      <c r="P507" s="8"/>
      <c r="Q507" s="8"/>
      <c r="R507" s="8"/>
      <c r="S507" s="8"/>
      <c r="T507" s="8"/>
      <c r="U507" s="5"/>
      <c r="V507" s="5"/>
      <c r="W507" s="5"/>
      <c r="X507" s="5"/>
      <c r="Y507" s="5"/>
      <c r="Z507" s="5"/>
      <c r="AA507" s="69"/>
      <c r="AB507" s="69"/>
      <c r="AC507" s="84"/>
      <c r="AD507" s="88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</row>
    <row r="508" spans="1:256" ht="23.1" customHeight="1" x14ac:dyDescent="0.25">
      <c r="A508" s="6"/>
      <c r="B508" s="287"/>
      <c r="C508" s="9"/>
      <c r="D508" s="9"/>
      <c r="E508" s="8"/>
      <c r="F508" s="8"/>
      <c r="G508" s="8"/>
      <c r="H508" s="8"/>
      <c r="I508" s="8"/>
      <c r="J508" s="72"/>
      <c r="K508" s="72"/>
      <c r="L508" s="72"/>
      <c r="M508" s="72"/>
      <c r="N508" s="8"/>
      <c r="O508" s="8"/>
      <c r="P508" s="8"/>
      <c r="Q508" s="8"/>
      <c r="R508" s="8"/>
      <c r="S508" s="8"/>
      <c r="T508" s="8"/>
      <c r="U508" s="5"/>
      <c r="V508" s="5"/>
      <c r="W508" s="5"/>
      <c r="X508" s="5"/>
      <c r="Y508" s="5"/>
      <c r="Z508" s="5"/>
      <c r="AA508" s="69"/>
      <c r="AB508" s="69"/>
      <c r="AC508" s="84"/>
      <c r="AD508" s="88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</row>
    <row r="509" spans="1:256" ht="23.1" customHeight="1" x14ac:dyDescent="0.25">
      <c r="A509" s="6"/>
      <c r="B509" s="287"/>
      <c r="C509" s="9"/>
      <c r="D509" s="9"/>
      <c r="E509" s="8"/>
      <c r="F509" s="8"/>
      <c r="G509" s="8"/>
      <c r="H509" s="8"/>
      <c r="I509" s="8"/>
      <c r="J509" s="72"/>
      <c r="K509" s="72"/>
      <c r="L509" s="72"/>
      <c r="M509" s="72"/>
      <c r="N509" s="8"/>
      <c r="O509" s="8"/>
      <c r="P509" s="8"/>
      <c r="Q509" s="8"/>
      <c r="R509" s="8"/>
      <c r="S509" s="8"/>
      <c r="T509" s="8"/>
      <c r="U509" s="5"/>
      <c r="V509" s="5"/>
      <c r="W509" s="5"/>
      <c r="X509" s="5"/>
      <c r="Y509" s="5"/>
      <c r="Z509" s="5"/>
      <c r="AA509" s="69"/>
      <c r="AB509" s="69"/>
      <c r="AC509" s="84"/>
      <c r="AD509" s="88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</row>
    <row r="510" spans="1:256" ht="23.1" customHeight="1" x14ac:dyDescent="0.25">
      <c r="A510" s="6"/>
      <c r="B510" s="287"/>
      <c r="C510" s="9"/>
      <c r="D510" s="9"/>
      <c r="E510" s="8"/>
      <c r="F510" s="8"/>
      <c r="G510" s="8"/>
      <c r="H510" s="8"/>
      <c r="I510" s="8"/>
      <c r="J510" s="72"/>
      <c r="K510" s="72"/>
      <c r="L510" s="72"/>
      <c r="M510" s="72"/>
      <c r="N510" s="8"/>
      <c r="O510" s="8"/>
      <c r="P510" s="8"/>
      <c r="Q510" s="8"/>
      <c r="R510" s="8"/>
      <c r="S510" s="8"/>
      <c r="T510" s="8"/>
      <c r="U510" s="5"/>
      <c r="V510" s="5"/>
      <c r="W510" s="5"/>
      <c r="X510" s="5"/>
      <c r="Y510" s="5"/>
      <c r="Z510" s="5"/>
      <c r="AA510" s="69"/>
      <c r="AB510" s="69"/>
      <c r="AC510" s="84"/>
      <c r="AD510" s="88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</row>
    <row r="511" spans="1:256" ht="23.1" customHeight="1" x14ac:dyDescent="0.25">
      <c r="A511" s="6"/>
      <c r="B511" s="287"/>
      <c r="C511" s="9"/>
      <c r="D511" s="9"/>
      <c r="E511" s="8"/>
      <c r="F511" s="8"/>
      <c r="G511" s="8"/>
      <c r="H511" s="8"/>
      <c r="I511" s="8"/>
      <c r="J511" s="72"/>
      <c r="K511" s="72"/>
      <c r="L511" s="72"/>
      <c r="M511" s="72"/>
      <c r="N511" s="8"/>
      <c r="O511" s="8"/>
      <c r="P511" s="8"/>
      <c r="Q511" s="8"/>
      <c r="R511" s="8"/>
      <c r="S511" s="8"/>
      <c r="T511" s="8"/>
      <c r="U511" s="5"/>
      <c r="V511" s="5"/>
      <c r="W511" s="5"/>
      <c r="X511" s="5"/>
      <c r="Y511" s="5"/>
      <c r="Z511" s="5"/>
      <c r="AA511" s="69"/>
      <c r="AB511" s="69"/>
      <c r="AC511" s="84"/>
      <c r="AD511" s="88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</row>
    <row r="512" spans="1:256" ht="23.1" customHeight="1" x14ac:dyDescent="0.25">
      <c r="A512" s="6"/>
      <c r="B512" s="287"/>
      <c r="C512" s="9"/>
      <c r="D512" s="9"/>
      <c r="E512" s="8"/>
      <c r="F512" s="8"/>
      <c r="G512" s="8"/>
      <c r="H512" s="8"/>
      <c r="I512" s="8"/>
      <c r="J512" s="72"/>
      <c r="K512" s="72"/>
      <c r="L512" s="72"/>
      <c r="M512" s="72"/>
      <c r="N512" s="8"/>
      <c r="O512" s="8"/>
      <c r="P512" s="8"/>
      <c r="Q512" s="8"/>
      <c r="R512" s="8"/>
      <c r="S512" s="8"/>
      <c r="T512" s="8"/>
      <c r="U512" s="5"/>
      <c r="V512" s="5"/>
      <c r="W512" s="5"/>
      <c r="X512" s="5"/>
      <c r="Y512" s="5"/>
      <c r="Z512" s="5"/>
      <c r="AA512" s="69"/>
      <c r="AB512" s="69"/>
      <c r="AC512" s="84"/>
      <c r="AD512" s="88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</row>
    <row r="513" spans="1:256" ht="23.1" customHeight="1" x14ac:dyDescent="0.25">
      <c r="A513" s="6"/>
      <c r="B513" s="287"/>
      <c r="C513" s="9"/>
      <c r="D513" s="9"/>
      <c r="E513" s="8"/>
      <c r="F513" s="8"/>
      <c r="G513" s="8"/>
      <c r="H513" s="8"/>
      <c r="I513" s="8"/>
      <c r="J513" s="72"/>
      <c r="K513" s="72"/>
      <c r="L513" s="72"/>
      <c r="M513" s="72"/>
      <c r="N513" s="8"/>
      <c r="O513" s="8"/>
      <c r="P513" s="8"/>
      <c r="Q513" s="8"/>
      <c r="R513" s="8"/>
      <c r="S513" s="8"/>
      <c r="T513" s="8"/>
      <c r="U513" s="5"/>
      <c r="V513" s="5"/>
      <c r="W513" s="5"/>
      <c r="X513" s="5"/>
      <c r="Y513" s="5"/>
      <c r="Z513" s="5"/>
      <c r="AA513" s="69"/>
      <c r="AB513" s="69"/>
      <c r="AC513" s="84"/>
      <c r="AD513" s="88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</row>
    <row r="514" spans="1:256" ht="23.1" customHeight="1" x14ac:dyDescent="0.25">
      <c r="A514" s="6"/>
      <c r="B514" s="287"/>
      <c r="C514" s="9"/>
      <c r="D514" s="9"/>
      <c r="E514" s="8"/>
      <c r="F514" s="8"/>
      <c r="G514" s="8"/>
      <c r="H514" s="8"/>
      <c r="I514" s="8"/>
      <c r="J514" s="72"/>
      <c r="K514" s="72"/>
      <c r="L514" s="72"/>
      <c r="M514" s="72"/>
      <c r="N514" s="8"/>
      <c r="O514" s="8"/>
      <c r="P514" s="8"/>
      <c r="Q514" s="8"/>
      <c r="R514" s="8"/>
      <c r="S514" s="8"/>
      <c r="T514" s="8"/>
      <c r="U514" s="5"/>
      <c r="V514" s="5"/>
      <c r="W514" s="5"/>
      <c r="X514" s="5"/>
      <c r="Y514" s="5"/>
      <c r="Z514" s="5"/>
      <c r="AA514" s="69"/>
      <c r="AB514" s="69"/>
      <c r="AC514" s="84"/>
      <c r="AD514" s="88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</row>
    <row r="515" spans="1:256" ht="23.1" customHeight="1" x14ac:dyDescent="0.25">
      <c r="A515" s="6"/>
      <c r="B515" s="287"/>
      <c r="C515" s="9"/>
      <c r="D515" s="9"/>
      <c r="E515" s="8"/>
      <c r="F515" s="8"/>
      <c r="G515" s="8"/>
      <c r="H515" s="8"/>
      <c r="I515" s="8"/>
      <c r="J515" s="72"/>
      <c r="K515" s="72"/>
      <c r="L515" s="72"/>
      <c r="M515" s="72"/>
      <c r="N515" s="8"/>
      <c r="O515" s="8"/>
      <c r="P515" s="8"/>
      <c r="Q515" s="8"/>
      <c r="R515" s="8"/>
      <c r="S515" s="8"/>
      <c r="T515" s="8"/>
      <c r="U515" s="5"/>
      <c r="V515" s="5"/>
      <c r="W515" s="5"/>
      <c r="X515" s="5"/>
      <c r="Y515" s="5"/>
      <c r="Z515" s="5"/>
      <c r="AA515" s="69"/>
      <c r="AB515" s="69"/>
      <c r="AC515" s="84"/>
      <c r="AD515" s="88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</row>
    <row r="516" spans="1:256" ht="23.1" customHeight="1" x14ac:dyDescent="0.25">
      <c r="A516" s="6"/>
      <c r="B516" s="287"/>
      <c r="C516" s="9"/>
      <c r="D516" s="9"/>
      <c r="E516" s="8"/>
      <c r="F516" s="8"/>
      <c r="G516" s="8"/>
      <c r="H516" s="8"/>
      <c r="I516" s="8"/>
      <c r="J516" s="72"/>
      <c r="K516" s="72"/>
      <c r="L516" s="72"/>
      <c r="M516" s="72"/>
      <c r="N516" s="8"/>
      <c r="O516" s="8"/>
      <c r="P516" s="8"/>
      <c r="Q516" s="8"/>
      <c r="R516" s="8"/>
      <c r="S516" s="8"/>
      <c r="T516" s="8"/>
      <c r="U516" s="5"/>
      <c r="V516" s="5"/>
      <c r="W516" s="5"/>
      <c r="X516" s="5"/>
      <c r="Y516" s="5"/>
      <c r="Z516" s="5"/>
      <c r="AA516" s="69"/>
      <c r="AB516" s="69"/>
      <c r="AC516" s="84"/>
      <c r="AD516" s="88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</row>
    <row r="517" spans="1:256" ht="23.1" customHeight="1" x14ac:dyDescent="0.25">
      <c r="A517" s="6"/>
      <c r="B517" s="287"/>
      <c r="C517" s="9"/>
      <c r="D517" s="9"/>
      <c r="E517" s="8"/>
      <c r="F517" s="8"/>
      <c r="G517" s="8"/>
      <c r="H517" s="8"/>
      <c r="I517" s="8"/>
      <c r="J517" s="72"/>
      <c r="K517" s="72"/>
      <c r="L517" s="72"/>
      <c r="M517" s="72"/>
      <c r="N517" s="8"/>
      <c r="O517" s="8"/>
      <c r="P517" s="8"/>
      <c r="Q517" s="8"/>
      <c r="R517" s="8"/>
      <c r="S517" s="8"/>
      <c r="T517" s="8"/>
      <c r="U517" s="5"/>
      <c r="V517" s="5"/>
      <c r="W517" s="5"/>
      <c r="X517" s="5"/>
      <c r="Y517" s="5"/>
      <c r="Z517" s="5"/>
      <c r="AA517" s="69"/>
      <c r="AB517" s="69"/>
      <c r="AC517" s="84"/>
      <c r="AD517" s="88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</row>
    <row r="518" spans="1:256" ht="23.1" customHeight="1" x14ac:dyDescent="0.25">
      <c r="A518" s="6"/>
      <c r="B518" s="287"/>
      <c r="C518" s="9"/>
      <c r="D518" s="9"/>
      <c r="E518" s="8"/>
      <c r="F518" s="8"/>
      <c r="G518" s="8"/>
      <c r="H518" s="8"/>
      <c r="I518" s="8"/>
      <c r="J518" s="72"/>
      <c r="K518" s="72"/>
      <c r="L518" s="72"/>
      <c r="M518" s="72"/>
      <c r="N518" s="8"/>
      <c r="O518" s="8"/>
      <c r="P518" s="8"/>
      <c r="Q518" s="8"/>
      <c r="R518" s="8"/>
      <c r="S518" s="8"/>
      <c r="T518" s="8"/>
      <c r="U518" s="5"/>
      <c r="V518" s="5"/>
      <c r="W518" s="5"/>
      <c r="X518" s="5"/>
      <c r="Y518" s="5"/>
      <c r="Z518" s="5"/>
      <c r="AA518" s="69"/>
      <c r="AB518" s="69"/>
      <c r="AC518" s="84"/>
      <c r="AD518" s="88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</row>
    <row r="519" spans="1:256" ht="23.1" customHeight="1" x14ac:dyDescent="0.25">
      <c r="A519" s="6"/>
      <c r="B519" s="287"/>
      <c r="C519" s="9"/>
      <c r="D519" s="9"/>
      <c r="E519" s="8"/>
      <c r="F519" s="8"/>
      <c r="G519" s="8"/>
      <c r="H519" s="8"/>
      <c r="I519" s="8"/>
      <c r="J519" s="72"/>
      <c r="K519" s="72"/>
      <c r="L519" s="72"/>
      <c r="M519" s="72"/>
      <c r="N519" s="8"/>
      <c r="O519" s="8"/>
      <c r="P519" s="8"/>
      <c r="Q519" s="8"/>
      <c r="R519" s="8"/>
      <c r="S519" s="8"/>
      <c r="T519" s="8"/>
      <c r="U519" s="5"/>
      <c r="V519" s="5"/>
      <c r="W519" s="5"/>
      <c r="X519" s="5"/>
      <c r="Y519" s="5"/>
      <c r="Z519" s="5"/>
      <c r="AA519" s="69"/>
      <c r="AB519" s="69"/>
      <c r="AC519" s="84"/>
      <c r="AD519" s="88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</row>
    <row r="520" spans="1:256" ht="23.1" customHeight="1" x14ac:dyDescent="0.25">
      <c r="A520" s="6"/>
      <c r="B520" s="287"/>
      <c r="C520" s="9"/>
      <c r="D520" s="9"/>
      <c r="E520" s="8"/>
      <c r="F520" s="8"/>
      <c r="G520" s="8"/>
      <c r="H520" s="8"/>
      <c r="I520" s="8"/>
      <c r="J520" s="72"/>
      <c r="K520" s="72"/>
      <c r="L520" s="72"/>
      <c r="M520" s="72"/>
      <c r="N520" s="8"/>
      <c r="O520" s="8"/>
      <c r="P520" s="8"/>
      <c r="Q520" s="8"/>
      <c r="R520" s="8"/>
      <c r="S520" s="8"/>
      <c r="T520" s="8"/>
      <c r="U520" s="5"/>
      <c r="V520" s="5"/>
      <c r="W520" s="5"/>
      <c r="X520" s="5"/>
      <c r="Y520" s="5"/>
      <c r="Z520" s="5"/>
      <c r="AA520" s="69"/>
      <c r="AB520" s="69"/>
      <c r="AC520" s="84"/>
      <c r="AD520" s="88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</row>
    <row r="521" spans="1:256" ht="23.1" customHeight="1" x14ac:dyDescent="0.25">
      <c r="A521" s="6"/>
      <c r="B521" s="287"/>
      <c r="C521" s="9"/>
      <c r="D521" s="9"/>
      <c r="E521" s="8"/>
      <c r="F521" s="8"/>
      <c r="G521" s="8"/>
      <c r="H521" s="8"/>
      <c r="I521" s="8"/>
      <c r="J521" s="72"/>
      <c r="K521" s="72"/>
      <c r="L521" s="72"/>
      <c r="M521" s="72"/>
      <c r="N521" s="8"/>
      <c r="O521" s="8"/>
      <c r="P521" s="8"/>
      <c r="Q521" s="8"/>
      <c r="R521" s="8"/>
      <c r="S521" s="8"/>
      <c r="T521" s="8"/>
      <c r="U521" s="5"/>
      <c r="V521" s="5"/>
      <c r="W521" s="5"/>
      <c r="X521" s="5"/>
      <c r="Y521" s="5"/>
      <c r="Z521" s="5"/>
      <c r="AA521" s="69"/>
      <c r="AB521" s="69"/>
      <c r="AC521" s="84"/>
      <c r="AD521" s="88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</row>
    <row r="522" spans="1:256" ht="23.1" customHeight="1" x14ac:dyDescent="0.25">
      <c r="A522" s="6"/>
      <c r="B522" s="287"/>
      <c r="C522" s="9"/>
      <c r="D522" s="12"/>
      <c r="E522" s="8"/>
      <c r="F522" s="8"/>
      <c r="G522" s="8"/>
      <c r="H522" s="8"/>
      <c r="I522" s="8"/>
      <c r="J522" s="72"/>
      <c r="K522" s="72"/>
      <c r="L522" s="72"/>
      <c r="M522" s="72"/>
      <c r="N522" s="8"/>
      <c r="O522" s="8"/>
      <c r="P522" s="8"/>
      <c r="Q522" s="8"/>
      <c r="R522" s="8"/>
      <c r="S522" s="8"/>
      <c r="T522" s="8"/>
      <c r="U522" s="5"/>
      <c r="V522" s="5"/>
      <c r="W522" s="5"/>
      <c r="X522" s="5"/>
      <c r="Y522" s="5"/>
      <c r="Z522" s="5"/>
      <c r="AA522" s="69"/>
      <c r="AB522" s="69"/>
      <c r="AC522" s="84"/>
      <c r="AD522" s="88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</row>
    <row r="523" spans="1:256" ht="23.1" customHeight="1" x14ac:dyDescent="0.25">
      <c r="A523" s="6"/>
      <c r="B523" s="288"/>
      <c r="C523" s="9"/>
      <c r="D523" s="12"/>
      <c r="E523" s="8"/>
      <c r="F523" s="8"/>
      <c r="G523" s="8"/>
      <c r="H523" s="8"/>
      <c r="I523" s="8"/>
      <c r="J523" s="72"/>
      <c r="K523" s="72"/>
      <c r="L523" s="72"/>
      <c r="M523" s="72"/>
      <c r="N523" s="8"/>
      <c r="O523" s="8"/>
      <c r="P523" s="8"/>
      <c r="Q523" s="8"/>
      <c r="R523" s="8"/>
      <c r="S523" s="8"/>
      <c r="T523" s="8"/>
      <c r="U523" s="5"/>
      <c r="V523" s="5"/>
      <c r="W523" s="5"/>
      <c r="X523" s="5"/>
      <c r="Y523" s="5"/>
      <c r="Z523" s="5"/>
      <c r="AA523" s="69"/>
      <c r="AB523" s="69"/>
      <c r="AC523" s="84"/>
      <c r="AD523" s="88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</row>
    <row r="524" spans="1:256" ht="23.1" customHeight="1" x14ac:dyDescent="0.25">
      <c r="A524" s="6"/>
      <c r="B524" s="288"/>
      <c r="C524" s="9"/>
      <c r="D524" s="12"/>
      <c r="E524" s="8"/>
      <c r="F524" s="8"/>
      <c r="G524" s="8"/>
      <c r="H524" s="8"/>
      <c r="I524" s="8"/>
      <c r="J524" s="72"/>
      <c r="K524" s="72"/>
      <c r="L524" s="72"/>
      <c r="M524" s="72"/>
      <c r="N524" s="8"/>
      <c r="O524" s="8"/>
      <c r="P524" s="8"/>
      <c r="Q524" s="8"/>
      <c r="R524" s="8"/>
      <c r="S524" s="8"/>
      <c r="T524" s="8"/>
      <c r="U524" s="5"/>
      <c r="V524" s="5"/>
      <c r="W524" s="5"/>
      <c r="X524" s="5"/>
      <c r="Y524" s="5"/>
      <c r="Z524" s="5"/>
      <c r="AA524" s="69"/>
      <c r="AB524" s="69"/>
      <c r="AC524" s="84"/>
      <c r="AD524" s="88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</row>
    <row r="525" spans="1:256" ht="23.1" customHeight="1" x14ac:dyDescent="0.25">
      <c r="A525" s="6"/>
      <c r="B525" s="288"/>
      <c r="C525" s="9"/>
      <c r="D525" s="12"/>
      <c r="E525" s="8"/>
      <c r="F525" s="8"/>
      <c r="G525" s="8"/>
      <c r="H525" s="8"/>
      <c r="I525" s="8"/>
      <c r="J525" s="72"/>
      <c r="K525" s="72"/>
      <c r="L525" s="72"/>
      <c r="M525" s="72"/>
      <c r="N525" s="8"/>
      <c r="O525" s="8"/>
      <c r="P525" s="8"/>
      <c r="Q525" s="8"/>
      <c r="R525" s="8"/>
      <c r="S525" s="8"/>
      <c r="T525" s="8"/>
      <c r="U525" s="5"/>
      <c r="V525" s="5"/>
      <c r="W525" s="5"/>
      <c r="X525" s="5"/>
      <c r="Y525" s="5"/>
      <c r="Z525" s="5"/>
      <c r="AA525" s="69"/>
      <c r="AB525" s="69"/>
      <c r="AC525" s="84"/>
      <c r="AD525" s="88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</row>
    <row r="526" spans="1:256" ht="23.1" customHeight="1" x14ac:dyDescent="0.25">
      <c r="A526" s="13"/>
      <c r="B526" s="288"/>
      <c r="C526" s="12"/>
      <c r="D526" s="12"/>
      <c r="E526" s="8"/>
      <c r="F526" s="8"/>
      <c r="G526" s="8"/>
      <c r="H526" s="8"/>
      <c r="I526" s="8"/>
      <c r="J526" s="72"/>
      <c r="K526" s="72"/>
      <c r="L526" s="72"/>
      <c r="M526" s="72"/>
      <c r="N526" s="8"/>
      <c r="O526" s="8"/>
      <c r="P526" s="8"/>
      <c r="Q526" s="8"/>
      <c r="R526" s="8"/>
      <c r="S526" s="8"/>
      <c r="T526" s="8"/>
      <c r="U526" s="5"/>
      <c r="V526" s="5"/>
      <c r="W526" s="5"/>
      <c r="X526" s="5"/>
      <c r="Y526" s="5"/>
      <c r="Z526" s="5"/>
      <c r="AA526" s="69"/>
      <c r="AB526" s="69"/>
      <c r="AC526" s="84"/>
      <c r="AD526" s="88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</row>
    <row r="527" spans="1:256" ht="23.1" customHeight="1" x14ac:dyDescent="0.25">
      <c r="A527" s="13"/>
      <c r="B527" s="288"/>
      <c r="C527" s="12"/>
      <c r="D527" s="12"/>
      <c r="E527" s="8"/>
      <c r="F527" s="8"/>
      <c r="G527" s="8"/>
      <c r="H527" s="8"/>
      <c r="I527" s="8"/>
      <c r="J527" s="72"/>
      <c r="K527" s="72"/>
      <c r="L527" s="72"/>
      <c r="M527" s="72"/>
      <c r="N527" s="8"/>
      <c r="O527" s="8"/>
      <c r="P527" s="8"/>
      <c r="Q527" s="8"/>
      <c r="R527" s="8"/>
      <c r="S527" s="8"/>
      <c r="T527" s="8"/>
      <c r="U527" s="5"/>
      <c r="V527" s="5"/>
      <c r="W527" s="5"/>
      <c r="X527" s="5"/>
      <c r="Y527" s="5"/>
      <c r="Z527" s="5"/>
      <c r="AA527" s="69"/>
      <c r="AB527" s="69"/>
      <c r="AC527" s="84"/>
      <c r="AD527" s="88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</row>
    <row r="528" spans="1:256" ht="23.1" customHeight="1" x14ac:dyDescent="0.25">
      <c r="A528" s="13"/>
      <c r="B528" s="288"/>
      <c r="C528" s="12"/>
      <c r="D528" s="12"/>
      <c r="E528" s="8"/>
      <c r="F528" s="8"/>
      <c r="G528" s="8"/>
      <c r="H528" s="8"/>
      <c r="I528" s="8"/>
      <c r="J528" s="72"/>
      <c r="K528" s="72"/>
      <c r="L528" s="72"/>
      <c r="M528" s="72"/>
      <c r="N528" s="8"/>
      <c r="O528" s="8"/>
      <c r="P528" s="8"/>
      <c r="Q528" s="8"/>
      <c r="R528" s="8"/>
      <c r="S528" s="8"/>
      <c r="T528" s="8"/>
      <c r="U528" s="5"/>
      <c r="V528" s="5"/>
      <c r="W528" s="5"/>
      <c r="X528" s="5"/>
      <c r="Y528" s="5"/>
      <c r="Z528" s="5"/>
      <c r="AA528" s="69"/>
      <c r="AB528" s="69"/>
      <c r="AC528" s="84"/>
      <c r="AD528" s="88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</row>
    <row r="529" spans="1:256" ht="23.1" customHeight="1" x14ac:dyDescent="0.25">
      <c r="A529" s="13"/>
      <c r="B529" s="288"/>
      <c r="C529" s="12"/>
      <c r="D529" s="12"/>
      <c r="E529" s="8"/>
      <c r="F529" s="8"/>
      <c r="G529" s="8"/>
      <c r="H529" s="8"/>
      <c r="I529" s="8"/>
      <c r="J529" s="72"/>
      <c r="K529" s="72"/>
      <c r="L529" s="72"/>
      <c r="M529" s="72"/>
      <c r="N529" s="8"/>
      <c r="O529" s="8"/>
      <c r="P529" s="8"/>
      <c r="Q529" s="8"/>
      <c r="R529" s="8"/>
      <c r="S529" s="8"/>
      <c r="T529" s="8"/>
      <c r="U529" s="5"/>
      <c r="V529" s="5"/>
      <c r="W529" s="5"/>
      <c r="X529" s="5"/>
      <c r="Y529" s="5"/>
      <c r="Z529" s="5"/>
      <c r="AA529" s="69"/>
      <c r="AB529" s="69"/>
      <c r="AC529" s="84"/>
      <c r="AD529" s="88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</row>
    <row r="530" spans="1:256" ht="23.1" customHeight="1" x14ac:dyDescent="0.25">
      <c r="A530" s="13"/>
      <c r="B530" s="288"/>
      <c r="C530" s="12"/>
      <c r="D530" s="12"/>
      <c r="E530" s="8"/>
      <c r="F530" s="8"/>
      <c r="G530" s="8"/>
      <c r="H530" s="8"/>
      <c r="I530" s="8"/>
      <c r="J530" s="72"/>
      <c r="K530" s="72"/>
      <c r="L530" s="72"/>
      <c r="M530" s="72"/>
      <c r="N530" s="8"/>
      <c r="O530" s="8"/>
      <c r="P530" s="8"/>
      <c r="Q530" s="8"/>
      <c r="R530" s="8"/>
      <c r="S530" s="8"/>
      <c r="T530" s="8"/>
      <c r="U530" s="5"/>
      <c r="V530" s="5"/>
      <c r="W530" s="5"/>
      <c r="X530" s="5"/>
      <c r="Y530" s="5"/>
      <c r="Z530" s="5"/>
      <c r="AA530" s="69"/>
      <c r="AB530" s="69"/>
      <c r="AC530" s="84"/>
      <c r="AD530" s="88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</row>
    <row r="531" spans="1:256" ht="23.1" customHeight="1" x14ac:dyDescent="0.25">
      <c r="A531" s="13"/>
      <c r="B531" s="288"/>
      <c r="C531" s="12"/>
      <c r="D531" s="12"/>
      <c r="E531" s="8"/>
      <c r="F531" s="8"/>
      <c r="G531" s="8"/>
      <c r="H531" s="8"/>
      <c r="I531" s="8"/>
      <c r="J531" s="72"/>
      <c r="K531" s="72"/>
      <c r="L531" s="72"/>
      <c r="M531" s="72"/>
      <c r="N531" s="8"/>
      <c r="O531" s="8"/>
      <c r="P531" s="8"/>
      <c r="Q531" s="8"/>
      <c r="R531" s="8"/>
      <c r="S531" s="8"/>
      <c r="T531" s="8"/>
      <c r="U531" s="5"/>
      <c r="V531" s="5"/>
      <c r="W531" s="5"/>
      <c r="X531" s="5"/>
      <c r="Y531" s="5"/>
      <c r="Z531" s="5"/>
      <c r="AA531" s="69"/>
      <c r="AB531" s="69"/>
      <c r="AC531" s="84"/>
      <c r="AD531" s="88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</row>
    <row r="532" spans="1:256" ht="23.1" customHeight="1" x14ac:dyDescent="0.25">
      <c r="A532" s="13"/>
      <c r="B532" s="288"/>
      <c r="C532" s="12"/>
      <c r="D532" s="12"/>
      <c r="E532" s="8"/>
      <c r="F532" s="8"/>
      <c r="G532" s="8"/>
      <c r="H532" s="8"/>
      <c r="I532" s="8"/>
      <c r="J532" s="72"/>
      <c r="K532" s="72"/>
      <c r="L532" s="72"/>
      <c r="M532" s="72"/>
      <c r="N532" s="8"/>
      <c r="O532" s="8"/>
      <c r="P532" s="8"/>
      <c r="Q532" s="8"/>
      <c r="R532" s="8"/>
      <c r="S532" s="8"/>
      <c r="T532" s="8"/>
      <c r="U532" s="5"/>
      <c r="V532" s="5"/>
      <c r="W532" s="5"/>
      <c r="X532" s="5"/>
      <c r="Y532" s="5"/>
      <c r="Z532" s="5"/>
      <c r="AA532" s="69"/>
      <c r="AB532" s="69"/>
      <c r="AC532" s="84"/>
      <c r="AD532" s="88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</row>
    <row r="533" spans="1:256" ht="23.1" customHeight="1" x14ac:dyDescent="0.25">
      <c r="A533" s="5"/>
      <c r="B533" s="288"/>
      <c r="C533" s="12"/>
      <c r="D533" s="12"/>
      <c r="E533" s="8"/>
      <c r="F533" s="8"/>
      <c r="G533" s="8"/>
      <c r="H533" s="8"/>
      <c r="I533" s="8"/>
      <c r="J533" s="72"/>
      <c r="K533" s="72"/>
      <c r="L533" s="72"/>
      <c r="M533" s="72"/>
      <c r="N533" s="8"/>
      <c r="O533" s="8"/>
      <c r="P533" s="8"/>
      <c r="Q533" s="8"/>
      <c r="R533" s="8"/>
      <c r="S533" s="8"/>
      <c r="T533" s="8"/>
      <c r="U533" s="5"/>
      <c r="V533" s="5"/>
      <c r="W533" s="5"/>
      <c r="X533" s="5"/>
      <c r="Y533" s="5"/>
      <c r="Z533" s="5"/>
      <c r="AA533" s="69"/>
      <c r="AB533" s="69"/>
      <c r="AC533" s="84"/>
      <c r="AD533" s="88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</row>
    <row r="534" spans="1:256" ht="23.1" customHeight="1" x14ac:dyDescent="0.25">
      <c r="A534" s="5"/>
      <c r="B534" s="288"/>
      <c r="C534" s="12"/>
      <c r="D534" s="12"/>
      <c r="E534" s="8"/>
      <c r="F534" s="8"/>
      <c r="G534" s="8"/>
      <c r="H534" s="8"/>
      <c r="I534" s="8"/>
      <c r="J534" s="72"/>
      <c r="K534" s="72"/>
      <c r="L534" s="72"/>
      <c r="M534" s="72"/>
      <c r="N534" s="8"/>
      <c r="O534" s="8"/>
      <c r="P534" s="8"/>
      <c r="Q534" s="8"/>
      <c r="R534" s="8"/>
      <c r="S534" s="8"/>
      <c r="T534" s="8"/>
      <c r="U534" s="5"/>
      <c r="V534" s="5"/>
      <c r="W534" s="5"/>
      <c r="X534" s="5"/>
      <c r="Y534" s="5"/>
      <c r="Z534" s="5"/>
      <c r="AA534" s="69"/>
      <c r="AB534" s="69"/>
      <c r="AC534" s="84"/>
      <c r="AD534" s="88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</row>
    <row r="535" spans="1:256" ht="23.1" customHeight="1" x14ac:dyDescent="0.25">
      <c r="A535" s="5"/>
      <c r="B535" s="288"/>
      <c r="C535" s="12"/>
      <c r="D535" s="12"/>
      <c r="E535" s="8"/>
      <c r="F535" s="8"/>
      <c r="G535" s="8"/>
      <c r="H535" s="8"/>
      <c r="I535" s="8"/>
      <c r="J535" s="72"/>
      <c r="K535" s="72"/>
      <c r="L535" s="72"/>
      <c r="M535" s="72"/>
      <c r="N535" s="8"/>
      <c r="O535" s="8"/>
      <c r="P535" s="8"/>
      <c r="Q535" s="8"/>
      <c r="R535" s="8"/>
      <c r="S535" s="8"/>
      <c r="T535" s="8"/>
      <c r="U535" s="5"/>
      <c r="V535" s="5"/>
      <c r="W535" s="5"/>
      <c r="X535" s="5"/>
      <c r="Y535" s="5"/>
      <c r="Z535" s="5"/>
      <c r="AA535" s="69"/>
      <c r="AB535" s="69"/>
      <c r="AC535" s="84"/>
      <c r="AD535" s="88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</row>
    <row r="536" spans="1:256" ht="23.1" customHeight="1" x14ac:dyDescent="0.25">
      <c r="A536" s="5"/>
      <c r="B536" s="288"/>
      <c r="C536" s="12"/>
      <c r="D536" s="12"/>
      <c r="E536" s="8"/>
      <c r="F536" s="8"/>
      <c r="G536" s="8"/>
      <c r="H536" s="8"/>
      <c r="I536" s="8"/>
      <c r="J536" s="72"/>
      <c r="K536" s="72"/>
      <c r="L536" s="72"/>
      <c r="M536" s="72"/>
      <c r="N536" s="8"/>
      <c r="O536" s="8"/>
      <c r="P536" s="8"/>
      <c r="Q536" s="8"/>
      <c r="R536" s="8"/>
      <c r="S536" s="8"/>
      <c r="T536" s="8"/>
      <c r="U536" s="5"/>
      <c r="V536" s="5"/>
      <c r="W536" s="5"/>
      <c r="X536" s="5"/>
      <c r="Y536" s="5"/>
      <c r="Z536" s="5"/>
      <c r="AA536" s="69"/>
      <c r="AB536" s="69"/>
      <c r="AC536" s="84"/>
      <c r="AD536" s="88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</row>
    <row r="537" spans="1:256" ht="23.1" customHeight="1" x14ac:dyDescent="0.25">
      <c r="A537" s="5"/>
      <c r="B537" s="288"/>
      <c r="C537" s="12"/>
      <c r="D537" s="12"/>
      <c r="E537" s="8"/>
      <c r="F537" s="8"/>
      <c r="G537" s="8"/>
      <c r="H537" s="8"/>
      <c r="I537" s="8"/>
      <c r="J537" s="72"/>
      <c r="K537" s="72"/>
      <c r="L537" s="72"/>
      <c r="M537" s="72"/>
      <c r="N537" s="8"/>
      <c r="O537" s="8"/>
      <c r="P537" s="8"/>
      <c r="Q537" s="8"/>
      <c r="R537" s="8"/>
      <c r="S537" s="8"/>
      <c r="T537" s="8"/>
      <c r="U537" s="5"/>
      <c r="V537" s="5"/>
      <c r="W537" s="5"/>
      <c r="X537" s="5"/>
      <c r="Y537" s="5"/>
      <c r="Z537" s="5"/>
      <c r="AA537" s="69"/>
      <c r="AB537" s="69"/>
      <c r="AC537" s="84"/>
      <c r="AD537" s="88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</row>
    <row r="538" spans="1:256" ht="23.1" customHeight="1" x14ac:dyDescent="0.25">
      <c r="A538" s="5"/>
      <c r="B538" s="288"/>
      <c r="C538" s="12"/>
      <c r="D538" s="12"/>
      <c r="E538" s="8"/>
      <c r="F538" s="8"/>
      <c r="G538" s="8"/>
      <c r="H538" s="8"/>
      <c r="I538" s="8"/>
      <c r="J538" s="72"/>
      <c r="K538" s="72"/>
      <c r="L538" s="72"/>
      <c r="M538" s="72"/>
      <c r="N538" s="8"/>
      <c r="O538" s="8"/>
      <c r="P538" s="8"/>
      <c r="Q538" s="8"/>
      <c r="R538" s="8"/>
      <c r="S538" s="8"/>
      <c r="T538" s="8"/>
      <c r="U538" s="5"/>
      <c r="V538" s="5"/>
      <c r="W538" s="5"/>
      <c r="X538" s="5"/>
      <c r="Y538" s="5"/>
      <c r="Z538" s="5"/>
      <c r="AA538" s="69"/>
      <c r="AB538" s="69"/>
      <c r="AC538" s="84"/>
      <c r="AD538" s="88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</row>
    <row r="539" spans="1:256" ht="23.1" customHeight="1" x14ac:dyDescent="0.25">
      <c r="A539" s="5"/>
      <c r="B539" s="288"/>
      <c r="C539" s="12"/>
      <c r="D539" s="12"/>
      <c r="E539" s="8"/>
      <c r="F539" s="8"/>
      <c r="G539" s="8"/>
      <c r="H539" s="8"/>
      <c r="I539" s="8"/>
      <c r="J539" s="72"/>
      <c r="K539" s="72"/>
      <c r="L539" s="72"/>
      <c r="M539" s="72"/>
      <c r="N539" s="8"/>
      <c r="O539" s="8"/>
      <c r="P539" s="8"/>
      <c r="Q539" s="8"/>
      <c r="R539" s="8"/>
      <c r="S539" s="8"/>
      <c r="T539" s="8"/>
      <c r="U539" s="5"/>
      <c r="V539" s="5"/>
      <c r="W539" s="5"/>
      <c r="X539" s="5"/>
      <c r="Y539" s="5"/>
      <c r="Z539" s="5"/>
      <c r="AA539" s="69"/>
      <c r="AB539" s="69"/>
      <c r="AC539" s="84"/>
      <c r="AD539" s="88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</row>
    <row r="540" spans="1:256" ht="23.1" customHeight="1" x14ac:dyDescent="0.25">
      <c r="A540" s="5"/>
      <c r="B540" s="288"/>
      <c r="C540" s="12"/>
      <c r="D540" s="12"/>
      <c r="E540" s="8"/>
      <c r="F540" s="8"/>
      <c r="G540" s="8"/>
      <c r="H540" s="8"/>
      <c r="I540" s="8"/>
      <c r="J540" s="72"/>
      <c r="K540" s="72"/>
      <c r="L540" s="72"/>
      <c r="M540" s="72"/>
      <c r="N540" s="8"/>
      <c r="O540" s="8"/>
      <c r="P540" s="8"/>
      <c r="Q540" s="8"/>
      <c r="R540" s="8"/>
      <c r="S540" s="8"/>
      <c r="T540" s="8"/>
      <c r="U540" s="5"/>
      <c r="V540" s="5"/>
      <c r="W540" s="5"/>
      <c r="X540" s="5"/>
      <c r="Y540" s="5"/>
      <c r="Z540" s="5"/>
      <c r="AA540" s="69"/>
      <c r="AB540" s="69"/>
      <c r="AC540" s="84"/>
      <c r="AD540" s="88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</row>
    <row r="541" spans="1:256" ht="23.1" customHeight="1" x14ac:dyDescent="0.25">
      <c r="A541" s="5"/>
      <c r="B541" s="288"/>
      <c r="C541" s="12"/>
      <c r="D541" s="12"/>
      <c r="E541" s="8"/>
      <c r="F541" s="8"/>
      <c r="G541" s="8"/>
      <c r="H541" s="8"/>
      <c r="I541" s="8"/>
      <c r="J541" s="72"/>
      <c r="K541" s="72"/>
      <c r="L541" s="72"/>
      <c r="M541" s="72"/>
      <c r="N541" s="8"/>
      <c r="O541" s="8"/>
      <c r="P541" s="8"/>
      <c r="Q541" s="8"/>
      <c r="R541" s="8"/>
      <c r="S541" s="8"/>
      <c r="T541" s="8"/>
      <c r="U541" s="5"/>
      <c r="V541" s="5"/>
      <c r="W541" s="5"/>
      <c r="X541" s="5"/>
      <c r="Y541" s="5"/>
      <c r="Z541" s="5"/>
      <c r="AA541" s="69"/>
      <c r="AB541" s="69"/>
      <c r="AC541" s="84"/>
      <c r="AD541" s="88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</row>
    <row r="542" spans="1:256" ht="23.1" customHeight="1" x14ac:dyDescent="0.25">
      <c r="A542" s="5"/>
      <c r="B542" s="288"/>
      <c r="C542" s="12"/>
      <c r="D542" s="12"/>
      <c r="E542" s="8"/>
      <c r="F542" s="8"/>
      <c r="G542" s="8"/>
      <c r="H542" s="8"/>
      <c r="I542" s="8"/>
      <c r="J542" s="72"/>
      <c r="K542" s="72"/>
      <c r="L542" s="72"/>
      <c r="M542" s="72"/>
      <c r="N542" s="8"/>
      <c r="O542" s="8"/>
      <c r="P542" s="8"/>
      <c r="Q542" s="8"/>
      <c r="R542" s="8"/>
      <c r="S542" s="8"/>
      <c r="T542" s="8"/>
      <c r="U542" s="5"/>
      <c r="V542" s="5"/>
      <c r="W542" s="5"/>
      <c r="X542" s="5"/>
      <c r="Y542" s="5"/>
      <c r="Z542" s="5"/>
      <c r="AA542" s="69"/>
      <c r="AB542" s="69"/>
      <c r="AC542" s="84"/>
      <c r="AD542" s="88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</row>
    <row r="543" spans="1:256" ht="23.1" customHeight="1" x14ac:dyDescent="0.25">
      <c r="A543" s="5"/>
      <c r="B543" s="288"/>
      <c r="C543" s="12"/>
      <c r="D543" s="12"/>
      <c r="E543" s="8"/>
      <c r="F543" s="8"/>
      <c r="G543" s="8"/>
      <c r="H543" s="8"/>
      <c r="I543" s="8"/>
      <c r="J543" s="72"/>
      <c r="K543" s="72"/>
      <c r="L543" s="72"/>
      <c r="M543" s="72"/>
      <c r="N543" s="8"/>
      <c r="O543" s="8"/>
      <c r="P543" s="8"/>
      <c r="Q543" s="8"/>
      <c r="R543" s="8"/>
      <c r="S543" s="8"/>
      <c r="T543" s="8"/>
      <c r="U543" s="5"/>
      <c r="V543" s="5"/>
      <c r="W543" s="5"/>
      <c r="X543" s="5"/>
      <c r="Y543" s="5"/>
      <c r="Z543" s="5"/>
      <c r="AA543" s="69"/>
      <c r="AB543" s="69"/>
      <c r="AC543" s="84"/>
      <c r="AD543" s="88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</row>
    <row r="544" spans="1:256" ht="23.1" customHeight="1" x14ac:dyDescent="0.25">
      <c r="A544" s="5"/>
      <c r="B544" s="288"/>
      <c r="C544" s="12"/>
      <c r="D544" s="12"/>
      <c r="E544" s="8"/>
      <c r="F544" s="8"/>
      <c r="G544" s="8"/>
      <c r="H544" s="8"/>
      <c r="I544" s="8"/>
      <c r="J544" s="72"/>
      <c r="K544" s="72"/>
      <c r="L544" s="72"/>
      <c r="M544" s="72"/>
      <c r="N544" s="8"/>
      <c r="O544" s="8"/>
      <c r="P544" s="8"/>
      <c r="Q544" s="8"/>
      <c r="R544" s="8"/>
      <c r="S544" s="8"/>
      <c r="T544" s="8"/>
      <c r="U544" s="5"/>
      <c r="V544" s="5"/>
      <c r="W544" s="5"/>
      <c r="X544" s="5"/>
      <c r="Y544" s="5"/>
      <c r="Z544" s="5"/>
      <c r="AA544" s="69"/>
      <c r="AB544" s="69"/>
      <c r="AC544" s="84"/>
      <c r="AD544" s="88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</row>
    <row r="545" spans="1:256" ht="23.1" customHeight="1" x14ac:dyDescent="0.25">
      <c r="A545" s="5"/>
      <c r="B545" s="288"/>
      <c r="C545" s="12"/>
      <c r="D545" s="12"/>
      <c r="E545" s="8"/>
      <c r="F545" s="8"/>
      <c r="G545" s="8"/>
      <c r="H545" s="8"/>
      <c r="I545" s="8"/>
      <c r="J545" s="72"/>
      <c r="K545" s="72"/>
      <c r="L545" s="72"/>
      <c r="M545" s="72"/>
      <c r="N545" s="8"/>
      <c r="O545" s="8"/>
      <c r="P545" s="8"/>
      <c r="Q545" s="8"/>
      <c r="R545" s="8"/>
      <c r="S545" s="8"/>
      <c r="T545" s="8"/>
      <c r="U545" s="5"/>
      <c r="V545" s="5"/>
      <c r="W545" s="5"/>
      <c r="X545" s="5"/>
      <c r="Y545" s="5"/>
      <c r="Z545" s="5"/>
      <c r="AA545" s="69"/>
      <c r="AB545" s="69"/>
      <c r="AC545" s="84"/>
      <c r="AD545" s="88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</row>
    <row r="546" spans="1:256" ht="23.1" customHeight="1" x14ac:dyDescent="0.25">
      <c r="A546" s="5"/>
      <c r="B546" s="288"/>
      <c r="C546" s="12"/>
      <c r="D546" s="12"/>
      <c r="E546" s="8"/>
      <c r="F546" s="8"/>
      <c r="G546" s="8"/>
      <c r="H546" s="8"/>
      <c r="I546" s="8"/>
      <c r="J546" s="72"/>
      <c r="K546" s="72"/>
      <c r="L546" s="72"/>
      <c r="M546" s="72"/>
      <c r="N546" s="8"/>
      <c r="O546" s="8"/>
      <c r="P546" s="8"/>
      <c r="Q546" s="8"/>
      <c r="R546" s="8"/>
      <c r="S546" s="8"/>
      <c r="T546" s="8"/>
      <c r="U546" s="5"/>
      <c r="V546" s="5"/>
      <c r="W546" s="5"/>
      <c r="X546" s="5"/>
      <c r="Y546" s="5"/>
      <c r="Z546" s="5"/>
      <c r="AA546" s="69"/>
      <c r="AB546" s="69"/>
      <c r="AC546" s="84"/>
      <c r="AD546" s="88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</row>
    <row r="547" spans="1:256" ht="23.1" customHeight="1" x14ac:dyDescent="0.25">
      <c r="A547" s="5"/>
      <c r="B547" s="288"/>
      <c r="C547" s="12"/>
      <c r="D547" s="12"/>
      <c r="E547" s="8"/>
      <c r="F547" s="8"/>
      <c r="G547" s="8"/>
      <c r="H547" s="8"/>
      <c r="I547" s="8"/>
      <c r="J547" s="72"/>
      <c r="K547" s="72"/>
      <c r="L547" s="72"/>
      <c r="M547" s="72"/>
      <c r="N547" s="8"/>
      <c r="O547" s="8"/>
      <c r="P547" s="8"/>
      <c r="Q547" s="8"/>
      <c r="R547" s="8"/>
      <c r="S547" s="8"/>
      <c r="T547" s="8"/>
      <c r="U547" s="5"/>
      <c r="V547" s="5"/>
      <c r="W547" s="5"/>
      <c r="X547" s="5"/>
      <c r="Y547" s="5"/>
      <c r="Z547" s="5"/>
      <c r="AA547" s="69"/>
      <c r="AB547" s="69"/>
      <c r="AC547" s="84"/>
      <c r="AD547" s="88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</row>
    <row r="548" spans="1:256" ht="23.1" customHeight="1" x14ac:dyDescent="0.25">
      <c r="A548" s="5"/>
      <c r="B548" s="288"/>
      <c r="C548" s="12"/>
      <c r="D548" s="12"/>
      <c r="E548" s="8"/>
      <c r="F548" s="8"/>
      <c r="G548" s="8"/>
      <c r="H548" s="8"/>
      <c r="I548" s="8"/>
      <c r="J548" s="72"/>
      <c r="K548" s="72"/>
      <c r="L548" s="72"/>
      <c r="M548" s="72"/>
      <c r="N548" s="8"/>
      <c r="O548" s="8"/>
      <c r="P548" s="8"/>
      <c r="Q548" s="8"/>
      <c r="R548" s="8"/>
      <c r="S548" s="8"/>
      <c r="T548" s="8"/>
      <c r="U548" s="5"/>
      <c r="V548" s="5"/>
      <c r="W548" s="5"/>
      <c r="X548" s="5"/>
      <c r="Y548" s="5"/>
      <c r="Z548" s="5"/>
      <c r="AA548" s="69"/>
      <c r="AB548" s="69"/>
      <c r="AC548" s="84"/>
      <c r="AD548" s="88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</row>
    <row r="549" spans="1:256" ht="23.1" customHeight="1" x14ac:dyDescent="0.25">
      <c r="A549" s="5"/>
      <c r="B549" s="288"/>
      <c r="C549" s="12"/>
      <c r="D549" s="12"/>
      <c r="E549" s="8"/>
      <c r="F549" s="8"/>
      <c r="G549" s="8"/>
      <c r="H549" s="8"/>
      <c r="I549" s="8"/>
      <c r="J549" s="72"/>
      <c r="K549" s="72"/>
      <c r="L549" s="72"/>
      <c r="M549" s="72"/>
      <c r="N549" s="8"/>
      <c r="O549" s="8"/>
      <c r="P549" s="8"/>
      <c r="Q549" s="8"/>
      <c r="R549" s="8"/>
      <c r="S549" s="8"/>
      <c r="T549" s="8"/>
      <c r="U549" s="5"/>
      <c r="V549" s="5"/>
      <c r="W549" s="5"/>
      <c r="X549" s="5"/>
      <c r="Y549" s="5"/>
      <c r="Z549" s="5"/>
      <c r="AA549" s="69"/>
      <c r="AB549" s="69"/>
      <c r="AC549" s="84"/>
      <c r="AD549" s="88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</row>
    <row r="550" spans="1:256" ht="23.1" customHeight="1" x14ac:dyDescent="0.25">
      <c r="A550" s="5"/>
      <c r="B550" s="288"/>
      <c r="C550" s="12"/>
      <c r="D550" s="12"/>
      <c r="E550" s="8"/>
      <c r="F550" s="8"/>
      <c r="G550" s="8"/>
      <c r="H550" s="8"/>
      <c r="I550" s="8"/>
      <c r="J550" s="72"/>
      <c r="K550" s="72"/>
      <c r="L550" s="72"/>
      <c r="M550" s="72"/>
      <c r="N550" s="8"/>
      <c r="O550" s="8"/>
      <c r="P550" s="8"/>
      <c r="Q550" s="8"/>
      <c r="R550" s="8"/>
      <c r="S550" s="8"/>
      <c r="T550" s="8"/>
      <c r="U550" s="5"/>
      <c r="V550" s="5"/>
      <c r="W550" s="5"/>
      <c r="X550" s="5"/>
      <c r="Y550" s="5"/>
      <c r="Z550" s="5"/>
      <c r="AA550" s="69"/>
      <c r="AB550" s="69"/>
      <c r="AC550" s="84"/>
      <c r="AD550" s="88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</row>
    <row r="551" spans="1:256" ht="23.1" customHeight="1" x14ac:dyDescent="0.25">
      <c r="A551" s="5"/>
      <c r="B551" s="288"/>
      <c r="C551" s="12"/>
      <c r="D551" s="12"/>
      <c r="E551" s="8"/>
      <c r="F551" s="8"/>
      <c r="G551" s="8"/>
      <c r="H551" s="8"/>
      <c r="I551" s="8"/>
      <c r="J551" s="72"/>
      <c r="K551" s="72"/>
      <c r="L551" s="72"/>
      <c r="M551" s="72"/>
      <c r="N551" s="8"/>
      <c r="O551" s="8"/>
      <c r="P551" s="8"/>
      <c r="Q551" s="8"/>
      <c r="R551" s="8"/>
      <c r="S551" s="8"/>
      <c r="T551" s="8"/>
      <c r="U551" s="5"/>
      <c r="V551" s="5"/>
      <c r="W551" s="5"/>
      <c r="X551" s="5"/>
      <c r="Y551" s="5"/>
      <c r="Z551" s="5"/>
      <c r="AA551" s="69"/>
      <c r="AB551" s="69"/>
      <c r="AC551" s="84"/>
      <c r="AD551" s="88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</row>
    <row r="552" spans="1:256" ht="23.1" customHeight="1" x14ac:dyDescent="0.25">
      <c r="A552" s="5"/>
      <c r="B552" s="288"/>
      <c r="C552" s="12"/>
      <c r="D552" s="12"/>
      <c r="E552" s="8"/>
      <c r="F552" s="8"/>
      <c r="G552" s="8"/>
      <c r="H552" s="8"/>
      <c r="I552" s="8"/>
      <c r="J552" s="72"/>
      <c r="K552" s="72"/>
      <c r="L552" s="72"/>
      <c r="M552" s="72"/>
      <c r="N552" s="8"/>
      <c r="O552" s="8"/>
      <c r="P552" s="8"/>
      <c r="Q552" s="8"/>
      <c r="R552" s="8"/>
      <c r="S552" s="8"/>
      <c r="T552" s="8"/>
      <c r="U552" s="5"/>
      <c r="V552" s="5"/>
      <c r="W552" s="5"/>
      <c r="X552" s="5"/>
      <c r="Y552" s="5"/>
      <c r="Z552" s="5"/>
      <c r="AA552" s="69"/>
      <c r="AB552" s="69"/>
      <c r="AC552" s="84"/>
      <c r="AD552" s="88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</row>
    <row r="553" spans="1:256" ht="23.1" customHeight="1" x14ac:dyDescent="0.25">
      <c r="A553" s="5"/>
      <c r="B553" s="288"/>
      <c r="C553" s="12"/>
      <c r="D553" s="12"/>
      <c r="E553" s="8"/>
      <c r="F553" s="8"/>
      <c r="G553" s="8"/>
      <c r="H553" s="8"/>
      <c r="I553" s="8"/>
      <c r="J553" s="72"/>
      <c r="K553" s="72"/>
      <c r="L553" s="72"/>
      <c r="M553" s="72"/>
      <c r="N553" s="8"/>
      <c r="O553" s="8"/>
      <c r="P553" s="8"/>
      <c r="Q553" s="8"/>
      <c r="R553" s="8"/>
      <c r="S553" s="8"/>
      <c r="T553" s="8"/>
      <c r="U553" s="5"/>
      <c r="V553" s="5"/>
      <c r="W553" s="5"/>
      <c r="X553" s="5"/>
      <c r="Y553" s="5"/>
      <c r="Z553" s="5"/>
      <c r="AA553" s="69"/>
      <c r="AB553" s="69"/>
      <c r="AC553" s="84"/>
      <c r="AD553" s="88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</row>
    <row r="554" spans="1:256" ht="23.1" customHeight="1" x14ac:dyDescent="0.25">
      <c r="A554" s="5"/>
      <c r="B554" s="288"/>
      <c r="C554" s="12"/>
      <c r="D554" s="12"/>
      <c r="E554" s="8"/>
      <c r="F554" s="8"/>
      <c r="G554" s="8"/>
      <c r="H554" s="8"/>
      <c r="I554" s="8"/>
      <c r="J554" s="72"/>
      <c r="K554" s="72"/>
      <c r="L554" s="72"/>
      <c r="M554" s="72"/>
      <c r="N554" s="8"/>
      <c r="O554" s="8"/>
      <c r="P554" s="8"/>
      <c r="Q554" s="8"/>
      <c r="R554" s="8"/>
      <c r="S554" s="8"/>
      <c r="T554" s="8"/>
      <c r="U554" s="5"/>
      <c r="V554" s="5"/>
      <c r="W554" s="5"/>
      <c r="X554" s="5"/>
      <c r="Y554" s="5"/>
      <c r="Z554" s="5"/>
      <c r="AA554" s="69"/>
      <c r="AB554" s="69"/>
      <c r="AC554" s="84"/>
      <c r="AD554" s="88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</row>
    <row r="555" spans="1:256" ht="23.1" customHeight="1" x14ac:dyDescent="0.25">
      <c r="A555" s="5"/>
      <c r="B555" s="288"/>
      <c r="C555" s="12"/>
      <c r="D555" s="12"/>
      <c r="E555" s="8"/>
      <c r="F555" s="8"/>
      <c r="G555" s="8"/>
      <c r="H555" s="8"/>
      <c r="I555" s="8"/>
      <c r="J555" s="72"/>
      <c r="K555" s="72"/>
      <c r="L555" s="72"/>
      <c r="M555" s="72"/>
      <c r="N555" s="8"/>
      <c r="O555" s="8"/>
      <c r="P555" s="8"/>
      <c r="Q555" s="8"/>
      <c r="R555" s="8"/>
      <c r="S555" s="8"/>
      <c r="T555" s="8"/>
      <c r="U555" s="5"/>
      <c r="V555" s="5"/>
      <c r="W555" s="5"/>
      <c r="X555" s="5"/>
      <c r="Y555" s="5"/>
      <c r="Z555" s="5"/>
      <c r="AA555" s="69"/>
      <c r="AB555" s="69"/>
      <c r="AC555" s="84"/>
      <c r="AD555" s="88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</row>
    <row r="556" spans="1:256" ht="23.1" customHeight="1" x14ac:dyDescent="0.25">
      <c r="A556" s="5"/>
      <c r="B556" s="288"/>
      <c r="C556" s="12"/>
      <c r="D556" s="12"/>
      <c r="E556" s="8"/>
      <c r="F556" s="8"/>
      <c r="G556" s="8"/>
      <c r="H556" s="8"/>
      <c r="I556" s="8"/>
      <c r="J556" s="72"/>
      <c r="K556" s="72"/>
      <c r="L556" s="72"/>
      <c r="M556" s="72"/>
      <c r="N556" s="8"/>
      <c r="O556" s="8"/>
      <c r="P556" s="8"/>
      <c r="Q556" s="8"/>
      <c r="R556" s="8"/>
      <c r="S556" s="8"/>
      <c r="T556" s="8"/>
      <c r="U556" s="5"/>
      <c r="V556" s="5"/>
      <c r="W556" s="5"/>
      <c r="X556" s="5"/>
      <c r="Y556" s="5"/>
      <c r="Z556" s="5"/>
      <c r="AA556" s="69"/>
      <c r="AB556" s="69"/>
      <c r="AC556" s="84"/>
      <c r="AD556" s="88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</row>
    <row r="557" spans="1:256" ht="23.1" customHeight="1" x14ac:dyDescent="0.25">
      <c r="A557" s="5"/>
      <c r="B557" s="288"/>
      <c r="C557" s="12"/>
      <c r="D557" s="12"/>
      <c r="E557" s="8"/>
      <c r="F557" s="8"/>
      <c r="G557" s="8"/>
      <c r="H557" s="8"/>
      <c r="I557" s="8"/>
      <c r="J557" s="72"/>
      <c r="K557" s="72"/>
      <c r="L557" s="72"/>
      <c r="M557" s="72"/>
      <c r="N557" s="8"/>
      <c r="O557" s="8"/>
      <c r="P557" s="8"/>
      <c r="Q557" s="8"/>
      <c r="R557" s="8"/>
      <c r="S557" s="8"/>
      <c r="T557" s="8"/>
      <c r="U557" s="5"/>
      <c r="V557" s="5"/>
      <c r="W557" s="5"/>
      <c r="X557" s="5"/>
      <c r="Y557" s="5"/>
      <c r="Z557" s="5"/>
      <c r="AA557" s="69"/>
      <c r="AB557" s="69"/>
      <c r="AC557" s="84"/>
      <c r="AD557" s="88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</row>
    <row r="558" spans="1:256" ht="23.1" customHeight="1" x14ac:dyDescent="0.25">
      <c r="A558" s="5"/>
      <c r="B558" s="288"/>
      <c r="C558" s="12"/>
      <c r="D558" s="12"/>
      <c r="E558" s="8"/>
      <c r="F558" s="8"/>
      <c r="G558" s="8"/>
      <c r="H558" s="8"/>
      <c r="I558" s="8"/>
      <c r="J558" s="72"/>
      <c r="K558" s="72"/>
      <c r="L558" s="72"/>
      <c r="M558" s="72"/>
      <c r="N558" s="8"/>
      <c r="O558" s="8"/>
      <c r="P558" s="8"/>
      <c r="Q558" s="8"/>
      <c r="R558" s="8"/>
      <c r="S558" s="8"/>
      <c r="T558" s="8"/>
      <c r="U558" s="5"/>
      <c r="V558" s="5"/>
      <c r="W558" s="5"/>
      <c r="X558" s="5"/>
      <c r="Y558" s="5"/>
      <c r="Z558" s="5"/>
      <c r="AA558" s="69"/>
      <c r="AB558" s="69"/>
      <c r="AC558" s="84"/>
      <c r="AD558" s="88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</row>
    <row r="559" spans="1:256" ht="23.1" customHeight="1" x14ac:dyDescent="0.25">
      <c r="A559" s="5"/>
      <c r="B559" s="288"/>
      <c r="C559" s="12"/>
      <c r="D559" s="12"/>
      <c r="E559" s="8"/>
      <c r="F559" s="8"/>
      <c r="G559" s="8"/>
      <c r="H559" s="8"/>
      <c r="I559" s="8"/>
      <c r="J559" s="72"/>
      <c r="K559" s="72"/>
      <c r="L559" s="72"/>
      <c r="M559" s="72"/>
      <c r="N559" s="8"/>
      <c r="O559" s="8"/>
      <c r="P559" s="8"/>
      <c r="Q559" s="8"/>
      <c r="R559" s="8"/>
      <c r="S559" s="8"/>
      <c r="T559" s="8"/>
      <c r="U559" s="5"/>
      <c r="V559" s="5"/>
      <c r="W559" s="5"/>
      <c r="X559" s="5"/>
      <c r="Y559" s="5"/>
      <c r="Z559" s="5"/>
      <c r="AA559" s="69"/>
      <c r="AB559" s="69"/>
      <c r="AC559" s="84"/>
      <c r="AD559" s="88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</row>
    <row r="560" spans="1:256" ht="23.1" customHeight="1" x14ac:dyDescent="0.25">
      <c r="A560" s="5"/>
      <c r="B560" s="288"/>
      <c r="C560" s="12"/>
      <c r="D560" s="12"/>
      <c r="E560" s="8"/>
      <c r="F560" s="8"/>
      <c r="G560" s="8"/>
      <c r="H560" s="8"/>
      <c r="I560" s="8"/>
      <c r="J560" s="72"/>
      <c r="K560" s="72"/>
      <c r="L560" s="72"/>
      <c r="M560" s="72"/>
      <c r="N560" s="8"/>
      <c r="O560" s="8"/>
      <c r="P560" s="8"/>
      <c r="Q560" s="8"/>
      <c r="R560" s="8"/>
      <c r="S560" s="8"/>
      <c r="T560" s="8"/>
      <c r="U560" s="5"/>
      <c r="V560" s="5"/>
      <c r="W560" s="5"/>
      <c r="X560" s="5"/>
      <c r="Y560" s="5"/>
      <c r="Z560" s="5"/>
      <c r="AA560" s="69"/>
      <c r="AB560" s="69"/>
      <c r="AC560" s="84"/>
      <c r="AD560" s="88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</row>
    <row r="561" spans="1:256" ht="23.1" customHeight="1" x14ac:dyDescent="0.25">
      <c r="A561" s="5"/>
      <c r="B561" s="288"/>
      <c r="C561" s="12"/>
      <c r="D561" s="12"/>
      <c r="E561" s="8"/>
      <c r="F561" s="8"/>
      <c r="G561" s="8"/>
      <c r="H561" s="8"/>
      <c r="I561" s="8"/>
      <c r="J561" s="72"/>
      <c r="K561" s="72"/>
      <c r="L561" s="72"/>
      <c r="M561" s="72"/>
      <c r="N561" s="8"/>
      <c r="O561" s="8"/>
      <c r="P561" s="8"/>
      <c r="Q561" s="8"/>
      <c r="R561" s="8"/>
      <c r="S561" s="8"/>
      <c r="T561" s="8"/>
      <c r="U561" s="5"/>
      <c r="V561" s="5"/>
      <c r="W561" s="5"/>
      <c r="X561" s="5"/>
      <c r="Y561" s="5"/>
      <c r="Z561" s="5"/>
      <c r="AA561" s="69"/>
      <c r="AB561" s="69"/>
      <c r="AC561" s="84"/>
      <c r="AD561" s="88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</row>
    <row r="562" spans="1:256" ht="23.1" customHeight="1" x14ac:dyDescent="0.25">
      <c r="A562" s="5"/>
      <c r="B562" s="288"/>
      <c r="C562" s="12"/>
      <c r="D562" s="12"/>
      <c r="E562" s="8"/>
      <c r="F562" s="8"/>
      <c r="G562" s="8"/>
      <c r="H562" s="8"/>
      <c r="I562" s="8"/>
      <c r="J562" s="72"/>
      <c r="K562" s="72"/>
      <c r="L562" s="72"/>
      <c r="M562" s="72"/>
      <c r="N562" s="8"/>
      <c r="O562" s="8"/>
      <c r="P562" s="8"/>
      <c r="Q562" s="8"/>
      <c r="R562" s="8"/>
      <c r="S562" s="8"/>
      <c r="T562" s="8"/>
      <c r="U562" s="5"/>
      <c r="V562" s="5"/>
      <c r="W562" s="5"/>
      <c r="X562" s="5"/>
      <c r="Y562" s="5"/>
      <c r="Z562" s="5"/>
      <c r="AA562" s="69"/>
      <c r="AB562" s="69"/>
      <c r="AC562" s="84"/>
      <c r="AD562" s="88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</row>
    <row r="563" spans="1:256" ht="23.1" customHeight="1" x14ac:dyDescent="0.25">
      <c r="A563" s="5"/>
      <c r="B563" s="288"/>
      <c r="C563" s="12"/>
      <c r="D563" s="12"/>
      <c r="E563" s="8"/>
      <c r="F563" s="8"/>
      <c r="G563" s="8"/>
      <c r="H563" s="8"/>
      <c r="I563" s="8"/>
      <c r="J563" s="72"/>
      <c r="K563" s="72"/>
      <c r="L563" s="72"/>
      <c r="M563" s="72"/>
      <c r="N563" s="8"/>
      <c r="O563" s="8"/>
      <c r="P563" s="8"/>
      <c r="Q563" s="8"/>
      <c r="R563" s="8"/>
      <c r="S563" s="8"/>
      <c r="T563" s="8"/>
      <c r="U563" s="5"/>
      <c r="V563" s="5"/>
      <c r="W563" s="5"/>
      <c r="X563" s="5"/>
      <c r="Y563" s="5"/>
      <c r="Z563" s="5"/>
      <c r="AA563" s="69"/>
      <c r="AB563" s="69"/>
      <c r="AC563" s="84"/>
      <c r="AD563" s="88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</row>
    <row r="564" spans="1:256" ht="23.1" customHeight="1" x14ac:dyDescent="0.25">
      <c r="A564" s="5"/>
      <c r="B564" s="288"/>
      <c r="C564" s="12"/>
      <c r="D564" s="12"/>
      <c r="E564" s="8"/>
      <c r="F564" s="8"/>
      <c r="G564" s="8"/>
      <c r="H564" s="8"/>
      <c r="I564" s="8"/>
      <c r="J564" s="72"/>
      <c r="K564" s="72"/>
      <c r="L564" s="72"/>
      <c r="M564" s="72"/>
      <c r="N564" s="8"/>
      <c r="O564" s="8"/>
      <c r="P564" s="8"/>
      <c r="Q564" s="8"/>
      <c r="R564" s="8"/>
      <c r="S564" s="8"/>
      <c r="T564" s="8"/>
      <c r="U564" s="5"/>
      <c r="V564" s="5"/>
      <c r="W564" s="5"/>
      <c r="X564" s="5"/>
      <c r="Y564" s="5"/>
      <c r="Z564" s="5"/>
      <c r="AA564" s="69"/>
      <c r="AB564" s="69"/>
      <c r="AC564" s="84"/>
      <c r="AD564" s="88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</row>
    <row r="565" spans="1:256" ht="23.1" customHeight="1" x14ac:dyDescent="0.25">
      <c r="A565" s="5"/>
      <c r="B565" s="288"/>
      <c r="C565" s="12"/>
      <c r="D565" s="12"/>
      <c r="E565" s="8"/>
      <c r="F565" s="8"/>
      <c r="G565" s="8"/>
      <c r="H565" s="8"/>
      <c r="I565" s="8"/>
      <c r="J565" s="72"/>
      <c r="K565" s="72"/>
      <c r="L565" s="72"/>
      <c r="M565" s="72"/>
      <c r="N565" s="8"/>
      <c r="O565" s="8"/>
      <c r="P565" s="8"/>
      <c r="Q565" s="8"/>
      <c r="R565" s="8"/>
      <c r="S565" s="8"/>
      <c r="T565" s="8"/>
      <c r="U565" s="5"/>
      <c r="V565" s="5"/>
      <c r="W565" s="5"/>
      <c r="X565" s="5"/>
      <c r="Y565" s="5"/>
      <c r="Z565" s="5"/>
      <c r="AA565" s="69"/>
      <c r="AB565" s="69"/>
      <c r="AC565" s="84"/>
      <c r="AD565" s="88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</row>
    <row r="566" spans="1:256" ht="23.1" customHeight="1" x14ac:dyDescent="0.25">
      <c r="A566" s="5"/>
      <c r="B566" s="288"/>
      <c r="C566" s="12"/>
      <c r="D566" s="12"/>
      <c r="E566" s="8"/>
      <c r="F566" s="8"/>
      <c r="G566" s="8"/>
      <c r="H566" s="8"/>
      <c r="I566" s="8"/>
      <c r="J566" s="72"/>
      <c r="K566" s="72"/>
      <c r="L566" s="72"/>
      <c r="M566" s="72"/>
      <c r="N566" s="8"/>
      <c r="O566" s="8"/>
      <c r="P566" s="8"/>
      <c r="Q566" s="8"/>
      <c r="R566" s="8"/>
      <c r="S566" s="8"/>
      <c r="T566" s="8"/>
      <c r="U566" s="5"/>
      <c r="V566" s="5"/>
      <c r="W566" s="5"/>
      <c r="X566" s="5"/>
      <c r="Y566" s="5"/>
      <c r="Z566" s="5"/>
      <c r="AA566" s="69"/>
      <c r="AB566" s="69"/>
      <c r="AC566" s="84"/>
      <c r="AD566" s="88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</row>
    <row r="567" spans="1:256" ht="23.1" customHeight="1" x14ac:dyDescent="0.25">
      <c r="A567" s="5"/>
      <c r="B567" s="288"/>
      <c r="C567" s="12"/>
      <c r="D567" s="12"/>
      <c r="E567" s="8"/>
      <c r="F567" s="8"/>
      <c r="G567" s="8"/>
      <c r="H567" s="8"/>
      <c r="I567" s="8"/>
      <c r="J567" s="72"/>
      <c r="K567" s="72"/>
      <c r="L567" s="72"/>
      <c r="M567" s="72"/>
      <c r="N567" s="8"/>
      <c r="O567" s="8"/>
      <c r="P567" s="8"/>
      <c r="Q567" s="8"/>
      <c r="R567" s="8"/>
      <c r="S567" s="8"/>
      <c r="T567" s="8"/>
      <c r="U567" s="5"/>
      <c r="V567" s="5"/>
      <c r="W567" s="5"/>
      <c r="X567" s="5"/>
      <c r="Y567" s="5"/>
      <c r="Z567" s="5"/>
      <c r="AA567" s="69"/>
      <c r="AB567" s="69"/>
      <c r="AC567" s="84"/>
      <c r="AD567" s="88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</row>
    <row r="568" spans="1:256" ht="23.1" customHeight="1" x14ac:dyDescent="0.25">
      <c r="A568" s="5"/>
      <c r="B568" s="288"/>
      <c r="C568" s="12"/>
      <c r="D568" s="12"/>
      <c r="E568" s="8"/>
      <c r="F568" s="8"/>
      <c r="G568" s="8"/>
      <c r="H568" s="8"/>
      <c r="I568" s="8"/>
      <c r="J568" s="72"/>
      <c r="K568" s="72"/>
      <c r="L568" s="72"/>
      <c r="M568" s="72"/>
      <c r="N568" s="8"/>
      <c r="O568" s="8"/>
      <c r="P568" s="8"/>
      <c r="Q568" s="8"/>
      <c r="R568" s="8"/>
      <c r="S568" s="8"/>
      <c r="T568" s="8"/>
      <c r="U568" s="5"/>
      <c r="V568" s="5"/>
      <c r="W568" s="5"/>
      <c r="X568" s="5"/>
      <c r="Y568" s="5"/>
      <c r="Z568" s="5"/>
      <c r="AA568" s="69"/>
      <c r="AB568" s="69"/>
      <c r="AC568" s="84"/>
      <c r="AD568" s="88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</row>
    <row r="569" spans="1:256" ht="23.1" customHeight="1" x14ac:dyDescent="0.25">
      <c r="A569" s="5"/>
      <c r="B569" s="288"/>
      <c r="C569" s="12"/>
      <c r="D569" s="12"/>
      <c r="E569" s="8"/>
      <c r="F569" s="8"/>
      <c r="G569" s="8"/>
      <c r="H569" s="8"/>
      <c r="I569" s="8"/>
      <c r="J569" s="72"/>
      <c r="K569" s="72"/>
      <c r="L569" s="72"/>
      <c r="M569" s="72"/>
      <c r="N569" s="8"/>
      <c r="O569" s="8"/>
      <c r="P569" s="8"/>
      <c r="Q569" s="8"/>
      <c r="R569" s="8"/>
      <c r="S569" s="8"/>
      <c r="T569" s="8"/>
      <c r="U569" s="5"/>
      <c r="V569" s="5"/>
      <c r="W569" s="5"/>
      <c r="X569" s="5"/>
      <c r="Y569" s="5"/>
      <c r="Z569" s="5"/>
      <c r="AA569" s="69"/>
      <c r="AB569" s="69"/>
      <c r="AC569" s="84"/>
      <c r="AD569" s="88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</row>
    <row r="570" spans="1:256" ht="23.1" customHeight="1" x14ac:dyDescent="0.25">
      <c r="A570" s="5"/>
      <c r="B570" s="288"/>
      <c r="C570" s="12"/>
      <c r="D570" s="12"/>
      <c r="E570" s="8"/>
      <c r="F570" s="8"/>
      <c r="G570" s="8"/>
      <c r="H570" s="8"/>
      <c r="I570" s="8"/>
      <c r="J570" s="72"/>
      <c r="K570" s="72"/>
      <c r="L570" s="72"/>
      <c r="M570" s="72"/>
      <c r="N570" s="8"/>
      <c r="O570" s="8"/>
      <c r="P570" s="8"/>
      <c r="Q570" s="8"/>
      <c r="R570" s="8"/>
      <c r="S570" s="8"/>
      <c r="T570" s="8"/>
      <c r="U570" s="5"/>
      <c r="V570" s="5"/>
      <c r="W570" s="5"/>
      <c r="X570" s="5"/>
      <c r="Y570" s="5"/>
      <c r="Z570" s="5"/>
      <c r="AA570" s="69"/>
      <c r="AB570" s="69"/>
      <c r="AC570" s="84"/>
      <c r="AD570" s="88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</row>
    <row r="571" spans="1:256" ht="23.1" customHeight="1" x14ac:dyDescent="0.25">
      <c r="A571" s="5"/>
      <c r="B571" s="288"/>
      <c r="C571" s="12"/>
      <c r="D571" s="12"/>
      <c r="E571" s="8"/>
      <c r="F571" s="8"/>
      <c r="G571" s="8"/>
      <c r="H571" s="8"/>
      <c r="I571" s="8"/>
      <c r="J571" s="72"/>
      <c r="K571" s="72"/>
      <c r="L571" s="72"/>
      <c r="M571" s="72"/>
      <c r="N571" s="8"/>
      <c r="O571" s="8"/>
      <c r="P571" s="8"/>
      <c r="Q571" s="8"/>
      <c r="R571" s="8"/>
      <c r="S571" s="8"/>
      <c r="T571" s="8"/>
      <c r="U571" s="5"/>
      <c r="V571" s="5"/>
      <c r="W571" s="5"/>
      <c r="X571" s="5"/>
      <c r="Y571" s="5"/>
      <c r="Z571" s="5"/>
      <c r="AA571" s="69"/>
      <c r="AB571" s="69"/>
      <c r="AC571" s="84"/>
      <c r="AD571" s="88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</row>
    <row r="572" spans="1:256" ht="23.1" customHeight="1" x14ac:dyDescent="0.25">
      <c r="A572" s="5"/>
      <c r="B572" s="288"/>
      <c r="C572" s="12"/>
      <c r="D572" s="12"/>
      <c r="E572" s="8"/>
      <c r="F572" s="8"/>
      <c r="G572" s="8"/>
      <c r="H572" s="8"/>
      <c r="I572" s="8"/>
      <c r="J572" s="72"/>
      <c r="K572" s="72"/>
      <c r="L572" s="72"/>
      <c r="M572" s="72"/>
      <c r="N572" s="8"/>
      <c r="O572" s="8"/>
      <c r="P572" s="8"/>
      <c r="Q572" s="8"/>
      <c r="R572" s="8"/>
      <c r="S572" s="8"/>
      <c r="T572" s="8"/>
      <c r="U572" s="5"/>
      <c r="V572" s="5"/>
      <c r="W572" s="5"/>
      <c r="X572" s="5"/>
      <c r="Y572" s="5"/>
      <c r="Z572" s="5"/>
      <c r="AA572" s="69"/>
      <c r="AB572" s="69"/>
      <c r="AC572" s="84"/>
      <c r="AD572" s="88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</row>
    <row r="573" spans="1:256" ht="23.1" customHeight="1" x14ac:dyDescent="0.25">
      <c r="A573" s="5"/>
      <c r="B573" s="288"/>
      <c r="C573" s="12"/>
      <c r="D573" s="12"/>
      <c r="E573" s="8"/>
      <c r="F573" s="8"/>
      <c r="G573" s="8"/>
      <c r="H573" s="8"/>
      <c r="I573" s="8"/>
      <c r="J573" s="72"/>
      <c r="K573" s="72"/>
      <c r="L573" s="72"/>
      <c r="M573" s="72"/>
      <c r="N573" s="8"/>
      <c r="O573" s="8"/>
      <c r="P573" s="8"/>
      <c r="Q573" s="8"/>
      <c r="R573" s="8"/>
      <c r="S573" s="8"/>
      <c r="T573" s="8"/>
      <c r="U573" s="5"/>
      <c r="V573" s="5"/>
      <c r="W573" s="5"/>
      <c r="X573" s="5"/>
      <c r="Y573" s="5"/>
      <c r="Z573" s="5"/>
      <c r="AA573" s="69"/>
      <c r="AB573" s="69"/>
      <c r="AC573" s="5"/>
      <c r="AD573" s="88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</row>
    <row r="574" spans="1:256" ht="23.1" customHeight="1" x14ac:dyDescent="0.25">
      <c r="A574" s="5"/>
      <c r="B574" s="288"/>
      <c r="C574" s="12"/>
      <c r="D574" s="12"/>
      <c r="E574" s="8"/>
      <c r="F574" s="8"/>
      <c r="G574" s="8"/>
      <c r="H574" s="8"/>
      <c r="I574" s="8"/>
      <c r="J574" s="72"/>
      <c r="K574" s="72"/>
      <c r="L574" s="72"/>
      <c r="M574" s="72"/>
      <c r="N574" s="8"/>
      <c r="O574" s="8"/>
      <c r="P574" s="8"/>
      <c r="Q574" s="8"/>
      <c r="R574" s="8"/>
      <c r="S574" s="8"/>
      <c r="T574" s="8"/>
      <c r="U574" s="5"/>
      <c r="V574" s="5"/>
      <c r="W574" s="5"/>
      <c r="X574" s="5"/>
      <c r="Y574" s="5"/>
      <c r="Z574" s="5"/>
      <c r="AA574" s="69"/>
      <c r="AB574" s="69"/>
      <c r="AC574" s="5"/>
      <c r="AD574" s="88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</row>
    <row r="575" spans="1:256" ht="23.1" customHeight="1" x14ac:dyDescent="0.25">
      <c r="A575" s="5"/>
      <c r="B575" s="288"/>
      <c r="C575" s="12"/>
      <c r="D575" s="12"/>
      <c r="E575" s="8"/>
      <c r="F575" s="8"/>
      <c r="G575" s="8"/>
      <c r="H575" s="8"/>
      <c r="I575" s="8"/>
      <c r="J575" s="72"/>
      <c r="K575" s="72"/>
      <c r="L575" s="72"/>
      <c r="M575" s="72"/>
      <c r="N575" s="8"/>
      <c r="O575" s="8"/>
      <c r="P575" s="8"/>
      <c r="Q575" s="8"/>
      <c r="R575" s="8"/>
      <c r="S575" s="8"/>
      <c r="T575" s="8"/>
      <c r="U575" s="5"/>
      <c r="V575" s="5"/>
      <c r="W575" s="5"/>
      <c r="X575" s="5"/>
      <c r="Y575" s="5"/>
      <c r="Z575" s="5"/>
      <c r="AA575" s="69"/>
      <c r="AB575" s="69"/>
      <c r="AC575" s="5"/>
      <c r="AD575" s="88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</row>
    <row r="576" spans="1:256" ht="23.1" customHeight="1" x14ac:dyDescent="0.25">
      <c r="A576" s="5"/>
      <c r="B576" s="288"/>
      <c r="C576" s="12"/>
      <c r="D576" s="12"/>
      <c r="E576" s="8"/>
      <c r="F576" s="8"/>
      <c r="G576" s="8"/>
      <c r="H576" s="8"/>
      <c r="I576" s="8"/>
      <c r="J576" s="72"/>
      <c r="K576" s="72"/>
      <c r="L576" s="72"/>
      <c r="M576" s="72"/>
      <c r="N576" s="8"/>
      <c r="O576" s="8"/>
      <c r="P576" s="8"/>
      <c r="Q576" s="8"/>
      <c r="R576" s="8"/>
      <c r="S576" s="8"/>
      <c r="T576" s="8"/>
      <c r="U576" s="5"/>
      <c r="V576" s="5"/>
      <c r="W576" s="5"/>
      <c r="X576" s="5"/>
      <c r="Y576" s="5"/>
      <c r="Z576" s="5"/>
      <c r="AA576" s="69"/>
      <c r="AB576" s="69"/>
      <c r="AC576" s="5"/>
      <c r="AD576" s="88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</row>
    <row r="577" spans="1:256" ht="23.1" customHeight="1" x14ac:dyDescent="0.25">
      <c r="A577" s="5"/>
      <c r="B577" s="288"/>
      <c r="C577" s="12"/>
      <c r="D577" s="12"/>
      <c r="E577" s="8"/>
      <c r="F577" s="8"/>
      <c r="G577" s="8"/>
      <c r="H577" s="8"/>
      <c r="I577" s="8"/>
      <c r="J577" s="72"/>
      <c r="K577" s="72"/>
      <c r="L577" s="72"/>
      <c r="M577" s="72"/>
      <c r="N577" s="8"/>
      <c r="O577" s="8"/>
      <c r="P577" s="8"/>
      <c r="Q577" s="8"/>
      <c r="R577" s="8"/>
      <c r="S577" s="8"/>
      <c r="T577" s="8"/>
      <c r="U577" s="5"/>
      <c r="V577" s="5"/>
      <c r="W577" s="5"/>
      <c r="X577" s="5"/>
      <c r="Y577" s="5"/>
      <c r="Z577" s="5"/>
      <c r="AA577" s="69"/>
      <c r="AB577" s="69"/>
      <c r="AC577" s="5"/>
      <c r="AD577" s="88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</row>
    <row r="578" spans="1:256" ht="23.1" customHeight="1" x14ac:dyDescent="0.25">
      <c r="A578" s="5"/>
      <c r="B578" s="288"/>
      <c r="C578" s="12"/>
      <c r="D578" s="12"/>
      <c r="E578" s="8"/>
      <c r="F578" s="8"/>
      <c r="G578" s="8"/>
      <c r="H578" s="8"/>
      <c r="I578" s="8"/>
      <c r="J578" s="72"/>
      <c r="K578" s="72"/>
      <c r="L578" s="72"/>
      <c r="M578" s="72"/>
      <c r="N578" s="8"/>
      <c r="O578" s="8"/>
      <c r="P578" s="8"/>
      <c r="Q578" s="8"/>
      <c r="R578" s="8"/>
      <c r="S578" s="8"/>
      <c r="T578" s="8"/>
      <c r="U578" s="5"/>
      <c r="V578" s="5"/>
      <c r="W578" s="5"/>
      <c r="X578" s="5"/>
      <c r="Y578" s="5"/>
      <c r="Z578" s="5"/>
      <c r="AA578" s="69"/>
      <c r="AB578" s="69"/>
      <c r="AC578" s="5"/>
      <c r="AD578" s="88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</row>
    <row r="579" spans="1:256" ht="23.1" customHeight="1" x14ac:dyDescent="0.25">
      <c r="A579" s="5"/>
      <c r="B579" s="288"/>
      <c r="C579" s="12"/>
      <c r="D579" s="12"/>
      <c r="E579" s="8"/>
      <c r="F579" s="8"/>
      <c r="G579" s="8"/>
      <c r="H579" s="8"/>
      <c r="I579" s="8"/>
      <c r="J579" s="72"/>
      <c r="K579" s="72"/>
      <c r="L579" s="72"/>
      <c r="M579" s="72"/>
      <c r="N579" s="8"/>
      <c r="O579" s="8"/>
      <c r="P579" s="8"/>
      <c r="Q579" s="8"/>
      <c r="R579" s="8"/>
      <c r="S579" s="8"/>
      <c r="T579" s="8"/>
      <c r="U579" s="5"/>
      <c r="V579" s="5"/>
      <c r="W579" s="5"/>
      <c r="X579" s="5"/>
      <c r="Y579" s="5"/>
      <c r="Z579" s="5"/>
      <c r="AA579" s="69"/>
      <c r="AB579" s="69"/>
      <c r="AC579" s="5"/>
      <c r="AD579" s="88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</row>
    <row r="580" spans="1:256" ht="23.1" customHeight="1" x14ac:dyDescent="0.25">
      <c r="A580" s="5"/>
      <c r="B580" s="288"/>
      <c r="C580" s="12"/>
      <c r="D580" s="12"/>
      <c r="E580" s="8"/>
      <c r="F580" s="8"/>
      <c r="G580" s="8"/>
      <c r="H580" s="8"/>
      <c r="I580" s="8"/>
      <c r="J580" s="72"/>
      <c r="K580" s="72"/>
      <c r="L580" s="72"/>
      <c r="M580" s="72"/>
      <c r="N580" s="8"/>
      <c r="O580" s="8"/>
      <c r="P580" s="8"/>
      <c r="Q580" s="8"/>
      <c r="R580" s="8"/>
      <c r="S580" s="8"/>
      <c r="T580" s="8"/>
      <c r="U580" s="5"/>
      <c r="V580" s="5"/>
      <c r="W580" s="5"/>
      <c r="X580" s="5"/>
      <c r="Y580" s="5"/>
      <c r="Z580" s="5"/>
      <c r="AA580" s="69"/>
      <c r="AB580" s="69"/>
      <c r="AC580" s="5"/>
      <c r="AD580" s="88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</row>
    <row r="581" spans="1:256" ht="23.1" customHeight="1" x14ac:dyDescent="0.25">
      <c r="A581" s="5"/>
      <c r="B581" s="288"/>
      <c r="C581" s="12"/>
      <c r="D581" s="12"/>
      <c r="E581" s="8"/>
      <c r="F581" s="8"/>
      <c r="G581" s="8"/>
      <c r="H581" s="8"/>
      <c r="I581" s="8"/>
      <c r="J581" s="72"/>
      <c r="K581" s="72"/>
      <c r="L581" s="72"/>
      <c r="M581" s="72"/>
      <c r="N581" s="8"/>
      <c r="O581" s="8"/>
      <c r="P581" s="8"/>
      <c r="Q581" s="8"/>
      <c r="R581" s="8"/>
      <c r="S581" s="8"/>
      <c r="T581" s="8"/>
      <c r="U581" s="5"/>
      <c r="V581" s="5"/>
      <c r="W581" s="5"/>
      <c r="X581" s="5"/>
      <c r="Y581" s="5"/>
      <c r="Z581" s="5"/>
      <c r="AA581" s="69"/>
      <c r="AB581" s="69"/>
      <c r="AC581" s="5"/>
      <c r="AD581" s="88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</row>
    <row r="582" spans="1:256" ht="23.1" customHeight="1" x14ac:dyDescent="0.25">
      <c r="A582" s="5"/>
      <c r="B582" s="288"/>
      <c r="C582" s="12"/>
      <c r="D582" s="12"/>
      <c r="E582" s="8"/>
      <c r="F582" s="8"/>
      <c r="G582" s="8"/>
      <c r="H582" s="8"/>
      <c r="I582" s="8"/>
      <c r="J582" s="72"/>
      <c r="K582" s="72"/>
      <c r="L582" s="72"/>
      <c r="M582" s="72"/>
      <c r="N582" s="8"/>
      <c r="O582" s="8"/>
      <c r="P582" s="8"/>
      <c r="Q582" s="8"/>
      <c r="R582" s="8"/>
      <c r="S582" s="8"/>
      <c r="T582" s="8"/>
      <c r="U582" s="5"/>
      <c r="V582" s="5"/>
      <c r="W582" s="5"/>
      <c r="X582" s="5"/>
      <c r="Y582" s="5"/>
      <c r="Z582" s="5"/>
      <c r="AA582" s="69"/>
      <c r="AB582" s="69"/>
      <c r="AC582" s="5"/>
      <c r="AD582" s="88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</row>
    <row r="583" spans="1:256" ht="23.1" customHeight="1" x14ac:dyDescent="0.25">
      <c r="A583" s="5"/>
      <c r="B583" s="288"/>
      <c r="C583" s="12"/>
      <c r="D583" s="12"/>
      <c r="E583" s="8"/>
      <c r="F583" s="8"/>
      <c r="G583" s="8"/>
      <c r="H583" s="8"/>
      <c r="I583" s="8"/>
      <c r="J583" s="72"/>
      <c r="K583" s="72"/>
      <c r="L583" s="72"/>
      <c r="M583" s="72"/>
      <c r="N583" s="8"/>
      <c r="O583" s="8"/>
      <c r="P583" s="8"/>
      <c r="Q583" s="8"/>
      <c r="R583" s="8"/>
      <c r="S583" s="8"/>
      <c r="T583" s="8"/>
      <c r="U583" s="5"/>
      <c r="V583" s="5"/>
      <c r="W583" s="5"/>
      <c r="X583" s="5"/>
      <c r="Y583" s="5"/>
      <c r="Z583" s="5"/>
      <c r="AA583" s="69"/>
      <c r="AB583" s="69"/>
      <c r="AC583" s="5"/>
      <c r="AD583" s="88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</row>
    <row r="584" spans="1:256" ht="23.1" customHeight="1" x14ac:dyDescent="0.25">
      <c r="A584" s="5"/>
      <c r="B584" s="288"/>
      <c r="C584" s="12"/>
      <c r="D584" s="12"/>
      <c r="E584" s="8"/>
      <c r="F584" s="8"/>
      <c r="G584" s="8"/>
      <c r="H584" s="8"/>
      <c r="I584" s="8"/>
      <c r="J584" s="72"/>
      <c r="K584" s="72"/>
      <c r="L584" s="72"/>
      <c r="M584" s="72"/>
      <c r="N584" s="8"/>
      <c r="O584" s="8"/>
      <c r="P584" s="8"/>
      <c r="Q584" s="8"/>
      <c r="R584" s="8"/>
      <c r="S584" s="8"/>
      <c r="T584" s="8"/>
      <c r="U584" s="5"/>
      <c r="V584" s="5"/>
      <c r="W584" s="5"/>
      <c r="X584" s="5"/>
      <c r="Y584" s="5"/>
      <c r="Z584" s="5"/>
      <c r="AA584" s="69"/>
      <c r="AB584" s="69"/>
      <c r="AC584" s="5"/>
      <c r="AD584" s="88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</row>
    <row r="585" spans="1:256" ht="23.1" customHeight="1" x14ac:dyDescent="0.25">
      <c r="A585" s="5"/>
      <c r="B585" s="288"/>
      <c r="C585" s="12"/>
      <c r="D585" s="12"/>
      <c r="E585" s="8"/>
      <c r="F585" s="8"/>
      <c r="G585" s="8"/>
      <c r="H585" s="8"/>
      <c r="I585" s="8"/>
      <c r="J585" s="72"/>
      <c r="K585" s="72"/>
      <c r="L585" s="72"/>
      <c r="M585" s="72"/>
      <c r="N585" s="8"/>
      <c r="O585" s="8"/>
      <c r="P585" s="8"/>
      <c r="Q585" s="8"/>
      <c r="R585" s="8"/>
      <c r="S585" s="8"/>
      <c r="T585" s="8"/>
      <c r="U585" s="5"/>
      <c r="V585" s="5"/>
      <c r="W585" s="5"/>
      <c r="X585" s="5"/>
      <c r="Y585" s="5"/>
      <c r="Z585" s="5"/>
      <c r="AA585" s="69"/>
      <c r="AB585" s="69"/>
      <c r="AC585" s="5"/>
      <c r="AD585" s="88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</row>
    <row r="586" spans="1:256" ht="23.1" customHeight="1" x14ac:dyDescent="0.25">
      <c r="A586" s="5"/>
      <c r="B586" s="288"/>
      <c r="C586" s="12"/>
      <c r="D586" s="12"/>
      <c r="E586" s="8"/>
      <c r="F586" s="8"/>
      <c r="G586" s="8"/>
      <c r="H586" s="8"/>
      <c r="I586" s="8"/>
      <c r="J586" s="72"/>
      <c r="K586" s="72"/>
      <c r="L586" s="72"/>
      <c r="M586" s="72"/>
      <c r="N586" s="8"/>
      <c r="O586" s="8"/>
      <c r="P586" s="8"/>
      <c r="Q586" s="8"/>
      <c r="R586" s="8"/>
      <c r="S586" s="8"/>
      <c r="T586" s="8"/>
      <c r="U586" s="5"/>
      <c r="V586" s="5"/>
      <c r="W586" s="5"/>
      <c r="X586" s="5"/>
      <c r="Y586" s="5"/>
      <c r="Z586" s="5"/>
      <c r="AA586" s="69"/>
      <c r="AB586" s="69"/>
      <c r="AC586" s="5"/>
      <c r="AD586" s="88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</row>
    <row r="587" spans="1:256" ht="23.1" customHeight="1" x14ac:dyDescent="0.25">
      <c r="A587" s="5"/>
      <c r="B587" s="288"/>
      <c r="C587" s="12"/>
      <c r="D587" s="12"/>
      <c r="E587" s="8"/>
      <c r="F587" s="8"/>
      <c r="G587" s="8"/>
      <c r="H587" s="8"/>
      <c r="I587" s="8"/>
      <c r="J587" s="72"/>
      <c r="K587" s="72"/>
      <c r="L587" s="72"/>
      <c r="M587" s="72"/>
      <c r="N587" s="8"/>
      <c r="O587" s="8"/>
      <c r="P587" s="8"/>
      <c r="Q587" s="8"/>
      <c r="R587" s="8"/>
      <c r="S587" s="8"/>
      <c r="T587" s="8"/>
      <c r="U587" s="5"/>
      <c r="V587" s="5"/>
      <c r="W587" s="5"/>
      <c r="X587" s="5"/>
      <c r="Y587" s="5"/>
      <c r="Z587" s="5"/>
      <c r="AA587" s="69"/>
      <c r="AB587" s="69"/>
      <c r="AC587" s="5"/>
      <c r="AD587" s="88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</row>
    <row r="588" spans="1:256" ht="23.1" customHeight="1" x14ac:dyDescent="0.25">
      <c r="A588" s="5"/>
      <c r="B588" s="288"/>
      <c r="C588" s="12"/>
      <c r="D588" s="12"/>
      <c r="E588" s="8"/>
      <c r="F588" s="8"/>
      <c r="G588" s="8"/>
      <c r="H588" s="8"/>
      <c r="I588" s="8"/>
      <c r="J588" s="72"/>
      <c r="K588" s="72"/>
      <c r="L588" s="72"/>
      <c r="M588" s="72"/>
      <c r="N588" s="8"/>
      <c r="O588" s="8"/>
      <c r="P588" s="8"/>
      <c r="Q588" s="8"/>
      <c r="R588" s="8"/>
      <c r="S588" s="8"/>
      <c r="T588" s="8"/>
      <c r="U588" s="5"/>
      <c r="V588" s="5"/>
      <c r="W588" s="5"/>
      <c r="X588" s="5"/>
      <c r="Y588" s="5"/>
      <c r="Z588" s="5"/>
      <c r="AA588" s="69"/>
      <c r="AB588" s="69"/>
      <c r="AC588" s="5"/>
      <c r="AD588" s="88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</row>
    <row r="589" spans="1:256" ht="23.1" customHeight="1" x14ac:dyDescent="0.25">
      <c r="A589" s="5"/>
      <c r="B589" s="288"/>
      <c r="C589" s="12"/>
      <c r="D589" s="12"/>
      <c r="E589" s="8"/>
      <c r="F589" s="8"/>
      <c r="G589" s="8"/>
      <c r="H589" s="8"/>
      <c r="I589" s="8"/>
      <c r="J589" s="72"/>
      <c r="K589" s="72"/>
      <c r="L589" s="72"/>
      <c r="M589" s="72"/>
      <c r="N589" s="8"/>
      <c r="O589" s="8"/>
      <c r="P589" s="8"/>
      <c r="Q589" s="8"/>
      <c r="R589" s="8"/>
      <c r="S589" s="8"/>
      <c r="T589" s="8"/>
      <c r="U589" s="5"/>
      <c r="V589" s="5"/>
      <c r="W589" s="5"/>
      <c r="X589" s="5"/>
      <c r="Y589" s="5"/>
      <c r="Z589" s="5"/>
      <c r="AA589" s="69"/>
      <c r="AB589" s="69"/>
      <c r="AC589" s="5"/>
      <c r="AD589" s="88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</row>
    <row r="590" spans="1:256" ht="23.1" customHeight="1" x14ac:dyDescent="0.25">
      <c r="A590" s="5"/>
      <c r="B590" s="288"/>
      <c r="C590" s="12"/>
      <c r="D590" s="12"/>
      <c r="E590" s="8"/>
      <c r="F590" s="8"/>
      <c r="G590" s="8"/>
      <c r="H590" s="8"/>
      <c r="I590" s="8"/>
      <c r="J590" s="72"/>
      <c r="K590" s="72"/>
      <c r="L590" s="72"/>
      <c r="M590" s="72"/>
      <c r="N590" s="8"/>
      <c r="O590" s="8"/>
      <c r="P590" s="8"/>
      <c r="Q590" s="8"/>
      <c r="R590" s="8"/>
      <c r="S590" s="8"/>
      <c r="T590" s="8"/>
      <c r="U590" s="5"/>
      <c r="V590" s="5"/>
      <c r="W590" s="5"/>
      <c r="X590" s="5"/>
      <c r="Y590" s="5"/>
      <c r="Z590" s="5"/>
      <c r="AA590" s="69"/>
      <c r="AB590" s="69"/>
      <c r="AC590" s="5"/>
      <c r="AD590" s="88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</row>
    <row r="591" spans="1:256" ht="23.1" customHeight="1" x14ac:dyDescent="0.25">
      <c r="A591" s="5"/>
      <c r="B591" s="288"/>
      <c r="C591" s="12"/>
      <c r="D591" s="12"/>
      <c r="E591" s="8"/>
      <c r="F591" s="8"/>
      <c r="G591" s="8"/>
      <c r="H591" s="8"/>
      <c r="I591" s="8"/>
      <c r="J591" s="72"/>
      <c r="K591" s="72"/>
      <c r="L591" s="72"/>
      <c r="M591" s="72"/>
      <c r="N591" s="8"/>
      <c r="O591" s="8"/>
      <c r="P591" s="8"/>
      <c r="Q591" s="8"/>
      <c r="R591" s="8"/>
      <c r="S591" s="8"/>
      <c r="T591" s="8"/>
      <c r="U591" s="5"/>
      <c r="V591" s="5"/>
      <c r="W591" s="5"/>
      <c r="X591" s="5"/>
      <c r="Y591" s="5"/>
      <c r="Z591" s="5"/>
      <c r="AA591" s="69"/>
      <c r="AB591" s="69"/>
      <c r="AC591" s="5"/>
      <c r="AD591" s="88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</row>
    <row r="592" spans="1:256" ht="23.1" customHeight="1" x14ac:dyDescent="0.25">
      <c r="A592" s="5"/>
      <c r="B592" s="288"/>
      <c r="C592" s="12"/>
      <c r="D592" s="12"/>
      <c r="E592" s="8"/>
      <c r="F592" s="8"/>
      <c r="G592" s="8"/>
      <c r="H592" s="8"/>
      <c r="I592" s="8"/>
      <c r="J592" s="72"/>
      <c r="K592" s="72"/>
      <c r="L592" s="72"/>
      <c r="M592" s="72"/>
      <c r="N592" s="8"/>
      <c r="O592" s="8"/>
      <c r="P592" s="8"/>
      <c r="Q592" s="8"/>
      <c r="R592" s="8"/>
      <c r="S592" s="8"/>
      <c r="T592" s="8"/>
      <c r="U592" s="5"/>
      <c r="V592" s="5"/>
      <c r="W592" s="5"/>
      <c r="X592" s="5"/>
      <c r="Y592" s="5"/>
      <c r="Z592" s="5"/>
      <c r="AA592" s="69"/>
      <c r="AB592" s="69"/>
      <c r="AC592" s="5"/>
      <c r="AD592" s="88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</row>
    <row r="593" spans="1:256" ht="23.1" customHeight="1" x14ac:dyDescent="0.25">
      <c r="A593" s="5"/>
      <c r="B593" s="288"/>
      <c r="C593" s="12"/>
      <c r="D593" s="12"/>
      <c r="E593" s="8"/>
      <c r="F593" s="8"/>
      <c r="G593" s="8"/>
      <c r="H593" s="8"/>
      <c r="I593" s="8"/>
      <c r="J593" s="72"/>
      <c r="K593" s="72"/>
      <c r="L593" s="72"/>
      <c r="M593" s="72"/>
      <c r="N593" s="8"/>
      <c r="O593" s="8"/>
      <c r="P593" s="8"/>
      <c r="Q593" s="8"/>
      <c r="R593" s="8"/>
      <c r="S593" s="8"/>
      <c r="T593" s="8"/>
      <c r="U593" s="5"/>
      <c r="V593" s="5"/>
      <c r="W593" s="5"/>
      <c r="X593" s="5"/>
      <c r="Y593" s="5"/>
      <c r="Z593" s="5"/>
      <c r="AA593" s="69"/>
      <c r="AB593" s="69"/>
      <c r="AC593" s="5"/>
      <c r="AD593" s="88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</row>
    <row r="594" spans="1:256" ht="23.1" customHeight="1" x14ac:dyDescent="0.25">
      <c r="A594" s="5"/>
      <c r="B594" s="288"/>
      <c r="C594" s="12"/>
      <c r="D594" s="12"/>
      <c r="E594" s="8"/>
      <c r="F594" s="8"/>
      <c r="G594" s="8"/>
      <c r="H594" s="8"/>
      <c r="I594" s="8"/>
      <c r="J594" s="72"/>
      <c r="K594" s="72"/>
      <c r="L594" s="72"/>
      <c r="M594" s="72"/>
      <c r="N594" s="8"/>
      <c r="O594" s="8"/>
      <c r="P594" s="8"/>
      <c r="Q594" s="8"/>
      <c r="R594" s="8"/>
      <c r="S594" s="8"/>
      <c r="T594" s="8"/>
      <c r="U594" s="5"/>
      <c r="V594" s="5"/>
      <c r="W594" s="5"/>
      <c r="X594" s="5"/>
      <c r="Y594" s="5"/>
      <c r="Z594" s="5"/>
      <c r="AA594" s="69"/>
      <c r="AB594" s="69"/>
      <c r="AC594" s="5"/>
      <c r="AD594" s="88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</row>
    <row r="595" spans="1:256" ht="23.1" customHeight="1" x14ac:dyDescent="0.25">
      <c r="A595" s="5"/>
      <c r="B595" s="288"/>
      <c r="C595" s="12"/>
      <c r="D595" s="12"/>
      <c r="E595" s="8"/>
      <c r="F595" s="8"/>
      <c r="G595" s="8"/>
      <c r="H595" s="8"/>
      <c r="I595" s="8"/>
      <c r="J595" s="72"/>
      <c r="K595" s="72"/>
      <c r="L595" s="72"/>
      <c r="M595" s="72"/>
      <c r="N595" s="8"/>
      <c r="O595" s="8"/>
      <c r="P595" s="8"/>
      <c r="Q595" s="8"/>
      <c r="R595" s="8"/>
      <c r="S595" s="8"/>
      <c r="T595" s="8"/>
      <c r="U595" s="5"/>
      <c r="V595" s="5"/>
      <c r="W595" s="5"/>
      <c r="X595" s="5"/>
      <c r="Y595" s="5"/>
      <c r="Z595" s="5"/>
      <c r="AA595" s="69"/>
      <c r="AB595" s="69"/>
      <c r="AC595" s="5"/>
      <c r="AD595" s="88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</row>
    <row r="596" spans="1:256" ht="23.1" customHeight="1" x14ac:dyDescent="0.25">
      <c r="A596" s="5"/>
      <c r="B596" s="288"/>
      <c r="C596" s="12"/>
      <c r="D596" s="12"/>
      <c r="E596" s="8"/>
      <c r="F596" s="8"/>
      <c r="G596" s="8"/>
      <c r="H596" s="8"/>
      <c r="I596" s="8"/>
      <c r="J596" s="72"/>
      <c r="K596" s="72"/>
      <c r="L596" s="72"/>
      <c r="M596" s="72"/>
      <c r="N596" s="8"/>
      <c r="O596" s="8"/>
      <c r="P596" s="8"/>
      <c r="Q596" s="8"/>
      <c r="R596" s="8"/>
      <c r="S596" s="8"/>
      <c r="T596" s="8"/>
      <c r="U596" s="5"/>
      <c r="V596" s="5"/>
      <c r="W596" s="5"/>
      <c r="X596" s="5"/>
      <c r="Y596" s="5"/>
      <c r="Z596" s="5"/>
      <c r="AA596" s="69"/>
      <c r="AB596" s="69"/>
      <c r="AC596" s="5"/>
      <c r="AD596" s="88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</row>
    <row r="597" spans="1:256" ht="23.1" customHeight="1" x14ac:dyDescent="0.25">
      <c r="A597" s="5"/>
      <c r="B597" s="288"/>
      <c r="C597" s="12"/>
      <c r="D597" s="12"/>
      <c r="E597" s="8"/>
      <c r="F597" s="8"/>
      <c r="G597" s="8"/>
      <c r="H597" s="8"/>
      <c r="I597" s="8"/>
      <c r="J597" s="72"/>
      <c r="K597" s="72"/>
      <c r="L597" s="72"/>
      <c r="M597" s="72"/>
      <c r="N597" s="8"/>
      <c r="O597" s="8"/>
      <c r="P597" s="8"/>
      <c r="Q597" s="8"/>
      <c r="R597" s="8"/>
      <c r="S597" s="8"/>
      <c r="T597" s="8"/>
      <c r="U597" s="5"/>
      <c r="V597" s="5"/>
      <c r="W597" s="5"/>
      <c r="X597" s="5"/>
      <c r="Y597" s="5"/>
      <c r="Z597" s="5"/>
      <c r="AA597" s="69"/>
      <c r="AB597" s="69"/>
      <c r="AC597" s="5"/>
      <c r="AD597" s="88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</row>
    <row r="598" spans="1:256" ht="23.1" customHeight="1" x14ac:dyDescent="0.25">
      <c r="A598" s="5"/>
      <c r="B598" s="288"/>
      <c r="C598" s="12"/>
      <c r="D598" s="12"/>
      <c r="E598" s="8"/>
      <c r="F598" s="8"/>
      <c r="G598" s="8"/>
      <c r="H598" s="8"/>
      <c r="I598" s="8"/>
      <c r="J598" s="72"/>
      <c r="K598" s="72"/>
      <c r="L598" s="72"/>
      <c r="M598" s="72"/>
      <c r="N598" s="8"/>
      <c r="O598" s="8"/>
      <c r="P598" s="8"/>
      <c r="Q598" s="8"/>
      <c r="R598" s="8"/>
      <c r="S598" s="8"/>
      <c r="T598" s="8"/>
      <c r="U598" s="5"/>
      <c r="V598" s="5"/>
      <c r="W598" s="5"/>
      <c r="X598" s="5"/>
      <c r="Y598" s="5"/>
      <c r="Z598" s="5"/>
      <c r="AA598" s="69"/>
      <c r="AB598" s="69"/>
      <c r="AC598" s="5"/>
      <c r="AD598" s="88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</row>
    <row r="599" spans="1:256" ht="23.1" customHeight="1" x14ac:dyDescent="0.25">
      <c r="A599" s="5"/>
      <c r="B599" s="288"/>
      <c r="C599" s="12"/>
      <c r="D599" s="12"/>
      <c r="E599" s="8"/>
      <c r="F599" s="8"/>
      <c r="G599" s="8"/>
      <c r="H599" s="8"/>
      <c r="I599" s="8"/>
      <c r="J599" s="72"/>
      <c r="K599" s="72"/>
      <c r="L599" s="72"/>
      <c r="M599" s="72"/>
      <c r="N599" s="8"/>
      <c r="O599" s="8"/>
      <c r="P599" s="8"/>
      <c r="Q599" s="8"/>
      <c r="R599" s="8"/>
      <c r="S599" s="8"/>
      <c r="T599" s="8"/>
      <c r="U599" s="5"/>
      <c r="V599" s="5"/>
      <c r="W599" s="5"/>
      <c r="X599" s="5"/>
      <c r="Y599" s="5"/>
      <c r="Z599" s="5"/>
      <c r="AA599" s="69"/>
      <c r="AB599" s="69"/>
      <c r="AC599" s="5"/>
      <c r="AD599" s="88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</row>
    <row r="600" spans="1:256" ht="23.1" customHeight="1" x14ac:dyDescent="0.25">
      <c r="A600" s="5"/>
      <c r="B600" s="288"/>
      <c r="C600" s="12"/>
      <c r="D600" s="12"/>
      <c r="E600" s="8"/>
      <c r="F600" s="8"/>
      <c r="G600" s="8"/>
      <c r="H600" s="8"/>
      <c r="I600" s="8"/>
      <c r="J600" s="72"/>
      <c r="K600" s="72"/>
      <c r="L600" s="72"/>
      <c r="M600" s="72"/>
      <c r="N600" s="8"/>
      <c r="O600" s="8"/>
      <c r="P600" s="8"/>
      <c r="Q600" s="8"/>
      <c r="R600" s="8"/>
      <c r="S600" s="8"/>
      <c r="T600" s="8"/>
      <c r="U600" s="5"/>
      <c r="V600" s="5"/>
      <c r="W600" s="5"/>
      <c r="X600" s="5"/>
      <c r="Y600" s="5"/>
      <c r="Z600" s="5"/>
      <c r="AA600" s="69"/>
      <c r="AB600" s="69"/>
      <c r="AC600" s="5"/>
      <c r="AD600" s="88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</row>
    <row r="601" spans="1:256" ht="23.1" customHeight="1" x14ac:dyDescent="0.25">
      <c r="A601" s="5"/>
      <c r="B601" s="288"/>
      <c r="C601" s="12"/>
      <c r="D601" s="12"/>
      <c r="E601" s="8"/>
      <c r="F601" s="8"/>
      <c r="G601" s="8"/>
      <c r="H601" s="8"/>
      <c r="I601" s="8"/>
      <c r="J601" s="72"/>
      <c r="K601" s="72"/>
      <c r="L601" s="72"/>
      <c r="M601" s="72"/>
      <c r="N601" s="8"/>
      <c r="O601" s="8"/>
      <c r="P601" s="8"/>
      <c r="Q601" s="8"/>
      <c r="R601" s="8"/>
      <c r="S601" s="8"/>
      <c r="T601" s="8"/>
      <c r="U601" s="5"/>
      <c r="V601" s="5"/>
      <c r="W601" s="5"/>
      <c r="X601" s="5"/>
      <c r="Y601" s="5"/>
      <c r="Z601" s="5"/>
      <c r="AA601" s="69"/>
      <c r="AB601" s="69"/>
      <c r="AC601" s="5"/>
      <c r="AD601" s="88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</row>
    <row r="602" spans="1:256" ht="23.1" customHeight="1" x14ac:dyDescent="0.25">
      <c r="A602" s="5"/>
      <c r="B602" s="288"/>
      <c r="C602" s="12"/>
      <c r="D602" s="12"/>
      <c r="E602" s="8"/>
      <c r="F602" s="8"/>
      <c r="G602" s="8"/>
      <c r="H602" s="8"/>
      <c r="I602" s="8"/>
      <c r="J602" s="72"/>
      <c r="K602" s="72"/>
      <c r="L602" s="72"/>
      <c r="M602" s="72"/>
      <c r="N602" s="8"/>
      <c r="O602" s="8"/>
      <c r="P602" s="8"/>
      <c r="Q602" s="8"/>
      <c r="R602" s="8"/>
      <c r="S602" s="8"/>
      <c r="T602" s="8"/>
      <c r="U602" s="5"/>
      <c r="V602" s="5"/>
      <c r="W602" s="5"/>
      <c r="X602" s="5"/>
      <c r="Y602" s="5"/>
      <c r="Z602" s="5"/>
      <c r="AA602" s="69"/>
      <c r="AB602" s="69"/>
      <c r="AC602" s="5"/>
      <c r="AD602" s="88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</row>
    <row r="603" spans="1:256" ht="23.1" customHeight="1" x14ac:dyDescent="0.25">
      <c r="A603" s="5"/>
      <c r="B603" s="288"/>
      <c r="C603" s="12"/>
      <c r="D603" s="12"/>
      <c r="E603" s="8"/>
      <c r="F603" s="8"/>
      <c r="G603" s="8"/>
      <c r="H603" s="8"/>
      <c r="I603" s="8"/>
      <c r="J603" s="72"/>
      <c r="K603" s="72"/>
      <c r="L603" s="72"/>
      <c r="M603" s="72"/>
      <c r="N603" s="8"/>
      <c r="O603" s="8"/>
      <c r="P603" s="8"/>
      <c r="Q603" s="8"/>
      <c r="R603" s="8"/>
      <c r="S603" s="8"/>
      <c r="T603" s="8"/>
      <c r="U603" s="5"/>
      <c r="V603" s="5"/>
      <c r="W603" s="5"/>
      <c r="X603" s="5"/>
      <c r="Y603" s="5"/>
      <c r="Z603" s="5"/>
      <c r="AA603" s="69"/>
      <c r="AB603" s="69"/>
      <c r="AC603" s="5"/>
      <c r="AD603" s="88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</row>
    <row r="604" spans="1:256" ht="23.1" customHeight="1" x14ac:dyDescent="0.25">
      <c r="A604" s="5"/>
      <c r="B604" s="288"/>
      <c r="C604" s="12"/>
      <c r="D604" s="12"/>
      <c r="E604" s="8"/>
      <c r="F604" s="8"/>
      <c r="G604" s="8"/>
      <c r="H604" s="8"/>
      <c r="I604" s="8"/>
      <c r="J604" s="72"/>
      <c r="K604" s="72"/>
      <c r="L604" s="72"/>
      <c r="M604" s="72"/>
      <c r="N604" s="8"/>
      <c r="O604" s="8"/>
      <c r="P604" s="8"/>
      <c r="Q604" s="8"/>
      <c r="R604" s="8"/>
      <c r="S604" s="8"/>
      <c r="T604" s="8"/>
      <c r="U604" s="5"/>
      <c r="V604" s="5"/>
      <c r="W604" s="5"/>
      <c r="X604" s="5"/>
      <c r="Y604" s="5"/>
      <c r="Z604" s="5"/>
      <c r="AA604" s="69"/>
      <c r="AB604" s="69"/>
      <c r="AC604" s="5"/>
      <c r="AD604" s="88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</row>
    <row r="605" spans="1:256" ht="23.1" customHeight="1" x14ac:dyDescent="0.25">
      <c r="A605" s="5"/>
      <c r="B605" s="288"/>
      <c r="C605" s="12"/>
      <c r="D605" s="12"/>
      <c r="E605" s="8"/>
      <c r="F605" s="8"/>
      <c r="G605" s="8"/>
      <c r="H605" s="8"/>
      <c r="I605" s="8"/>
      <c r="J605" s="72"/>
      <c r="K605" s="72"/>
      <c r="L605" s="72"/>
      <c r="M605" s="72"/>
      <c r="N605" s="8"/>
      <c r="O605" s="8"/>
      <c r="P605" s="8"/>
      <c r="Q605" s="8"/>
      <c r="R605" s="8"/>
      <c r="S605" s="8"/>
      <c r="T605" s="8"/>
      <c r="U605" s="5"/>
      <c r="V605" s="5"/>
      <c r="W605" s="5"/>
      <c r="X605" s="5"/>
      <c r="Y605" s="5"/>
      <c r="Z605" s="5"/>
      <c r="AA605" s="69"/>
      <c r="AB605" s="69"/>
      <c r="AC605" s="5"/>
      <c r="AD605" s="88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</row>
    <row r="606" spans="1:256" ht="23.1" customHeight="1" x14ac:dyDescent="0.25">
      <c r="A606" s="5"/>
      <c r="B606" s="288"/>
      <c r="C606" s="12"/>
      <c r="D606" s="12"/>
      <c r="E606" s="8"/>
      <c r="F606" s="8"/>
      <c r="G606" s="8"/>
      <c r="H606" s="8"/>
      <c r="I606" s="8"/>
      <c r="J606" s="72"/>
      <c r="K606" s="72"/>
      <c r="L606" s="72"/>
      <c r="M606" s="72"/>
      <c r="N606" s="8"/>
      <c r="O606" s="8"/>
      <c r="P606" s="8"/>
      <c r="Q606" s="8"/>
      <c r="R606" s="8"/>
      <c r="S606" s="8"/>
      <c r="T606" s="8"/>
      <c r="U606" s="5"/>
      <c r="V606" s="5"/>
      <c r="W606" s="5"/>
      <c r="X606" s="5"/>
      <c r="Y606" s="5"/>
      <c r="Z606" s="5"/>
      <c r="AA606" s="69"/>
      <c r="AB606" s="69"/>
      <c r="AC606" s="5"/>
      <c r="AD606" s="88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</row>
    <row r="607" spans="1:256" ht="23.1" customHeight="1" x14ac:dyDescent="0.25">
      <c r="A607" s="5"/>
      <c r="B607" s="288"/>
      <c r="C607" s="12"/>
      <c r="D607" s="12"/>
      <c r="E607" s="8"/>
      <c r="F607" s="8"/>
      <c r="G607" s="8"/>
      <c r="H607" s="8"/>
      <c r="I607" s="8"/>
      <c r="J607" s="72"/>
      <c r="K607" s="72"/>
      <c r="L607" s="72"/>
      <c r="M607" s="72"/>
      <c r="N607" s="8"/>
      <c r="O607" s="8"/>
      <c r="P607" s="8"/>
      <c r="Q607" s="8"/>
      <c r="R607" s="8"/>
      <c r="S607" s="8"/>
      <c r="T607" s="8"/>
      <c r="U607" s="5"/>
      <c r="V607" s="5"/>
      <c r="W607" s="5"/>
      <c r="X607" s="5"/>
      <c r="Y607" s="5"/>
      <c r="Z607" s="5"/>
      <c r="AA607" s="69"/>
      <c r="AB607" s="69"/>
      <c r="AC607" s="5"/>
      <c r="AD607" s="88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</row>
    <row r="608" spans="1:256" ht="23.1" customHeight="1" x14ac:dyDescent="0.25">
      <c r="A608" s="5"/>
      <c r="B608" s="288"/>
      <c r="C608" s="12"/>
      <c r="D608" s="12"/>
      <c r="E608" s="8"/>
      <c r="F608" s="8"/>
      <c r="G608" s="8"/>
      <c r="H608" s="8"/>
      <c r="I608" s="8"/>
      <c r="J608" s="72"/>
      <c r="K608" s="72"/>
      <c r="L608" s="72"/>
      <c r="M608" s="72"/>
      <c r="N608" s="8"/>
      <c r="O608" s="8"/>
      <c r="P608" s="8"/>
      <c r="Q608" s="8"/>
      <c r="R608" s="8"/>
      <c r="S608" s="8"/>
      <c r="T608" s="8"/>
      <c r="U608" s="5"/>
      <c r="V608" s="5"/>
      <c r="W608" s="5"/>
      <c r="X608" s="5"/>
      <c r="Y608" s="5"/>
      <c r="Z608" s="5"/>
      <c r="AA608" s="69"/>
      <c r="AB608" s="69"/>
      <c r="AC608" s="5"/>
      <c r="AD608" s="88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</row>
    <row r="609" spans="1:256" ht="23.1" customHeight="1" x14ac:dyDescent="0.25">
      <c r="A609" s="5"/>
      <c r="B609" s="288"/>
      <c r="C609" s="12"/>
      <c r="D609" s="12"/>
      <c r="E609" s="8"/>
      <c r="F609" s="8"/>
      <c r="G609" s="8"/>
      <c r="H609" s="8"/>
      <c r="I609" s="8"/>
      <c r="J609" s="72"/>
      <c r="K609" s="72"/>
      <c r="L609" s="72"/>
      <c r="M609" s="72"/>
      <c r="N609" s="8"/>
      <c r="O609" s="8"/>
      <c r="P609" s="8"/>
      <c r="Q609" s="8"/>
      <c r="R609" s="8"/>
      <c r="S609" s="8"/>
      <c r="T609" s="8"/>
      <c r="U609" s="5"/>
      <c r="V609" s="5"/>
      <c r="W609" s="5"/>
      <c r="X609" s="5"/>
      <c r="Y609" s="5"/>
      <c r="Z609" s="5"/>
      <c r="AA609" s="69"/>
      <c r="AB609" s="69"/>
      <c r="AC609" s="5"/>
      <c r="AD609" s="88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</row>
    <row r="610" spans="1:256" ht="23.1" customHeight="1" x14ac:dyDescent="0.25">
      <c r="A610" s="5"/>
      <c r="B610" s="288"/>
      <c r="C610" s="12"/>
      <c r="D610" s="12"/>
      <c r="E610" s="8"/>
      <c r="F610" s="8"/>
      <c r="G610" s="8"/>
      <c r="H610" s="8"/>
      <c r="I610" s="8"/>
      <c r="J610" s="72"/>
      <c r="K610" s="72"/>
      <c r="L610" s="72"/>
      <c r="M610" s="72"/>
      <c r="N610" s="8"/>
      <c r="O610" s="8"/>
      <c r="P610" s="8"/>
      <c r="Q610" s="8"/>
      <c r="R610" s="8"/>
      <c r="S610" s="8"/>
      <c r="T610" s="8"/>
      <c r="U610" s="5"/>
      <c r="V610" s="5"/>
      <c r="W610" s="5"/>
      <c r="X610" s="5"/>
      <c r="Y610" s="5"/>
      <c r="Z610" s="5"/>
      <c r="AA610" s="69"/>
      <c r="AB610" s="69"/>
      <c r="AC610" s="5"/>
      <c r="AD610" s="88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</row>
    <row r="611" spans="1:256" ht="23.1" customHeight="1" x14ac:dyDescent="0.25">
      <c r="A611" s="5"/>
      <c r="B611" s="288"/>
      <c r="C611" s="12"/>
      <c r="D611" s="12"/>
      <c r="E611" s="8"/>
      <c r="F611" s="8"/>
      <c r="G611" s="8"/>
      <c r="H611" s="8"/>
      <c r="I611" s="8"/>
      <c r="J611" s="72"/>
      <c r="K611" s="72"/>
      <c r="L611" s="72"/>
      <c r="M611" s="72"/>
      <c r="N611" s="8"/>
      <c r="O611" s="8"/>
      <c r="P611" s="8"/>
      <c r="Q611" s="8"/>
      <c r="R611" s="8"/>
      <c r="S611" s="8"/>
      <c r="T611" s="8"/>
      <c r="U611" s="5"/>
      <c r="V611" s="5"/>
      <c r="W611" s="5"/>
      <c r="X611" s="5"/>
      <c r="Y611" s="5"/>
      <c r="Z611" s="5"/>
      <c r="AA611" s="69"/>
      <c r="AB611" s="69"/>
      <c r="AC611" s="5"/>
      <c r="AD611" s="88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</row>
    <row r="612" spans="1:256" ht="23.1" customHeight="1" x14ac:dyDescent="0.25">
      <c r="A612" s="5"/>
      <c r="B612" s="288"/>
      <c r="C612" s="12"/>
      <c r="D612" s="12"/>
      <c r="E612" s="8"/>
      <c r="F612" s="8"/>
      <c r="G612" s="8"/>
      <c r="H612" s="8"/>
      <c r="I612" s="8"/>
      <c r="J612" s="72"/>
      <c r="K612" s="72"/>
      <c r="L612" s="72"/>
      <c r="M612" s="72"/>
      <c r="N612" s="8"/>
      <c r="O612" s="8"/>
      <c r="P612" s="8"/>
      <c r="Q612" s="8"/>
      <c r="R612" s="8"/>
      <c r="S612" s="8"/>
      <c r="T612" s="8"/>
      <c r="U612" s="5"/>
      <c r="V612" s="5"/>
      <c r="W612" s="5"/>
      <c r="X612" s="5"/>
      <c r="Y612" s="5"/>
      <c r="Z612" s="5"/>
      <c r="AA612" s="69"/>
      <c r="AB612" s="69"/>
      <c r="AC612" s="5"/>
      <c r="AD612" s="88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</row>
    <row r="613" spans="1:256" ht="23.1" customHeight="1" x14ac:dyDescent="0.25">
      <c r="A613" s="5"/>
      <c r="B613" s="288"/>
      <c r="C613" s="12"/>
      <c r="D613" s="12"/>
      <c r="E613" s="8"/>
      <c r="F613" s="8"/>
      <c r="G613" s="8"/>
      <c r="H613" s="8"/>
      <c r="I613" s="8"/>
      <c r="J613" s="72"/>
      <c r="K613" s="72"/>
      <c r="L613" s="72"/>
      <c r="M613" s="72"/>
      <c r="N613" s="8"/>
      <c r="O613" s="8"/>
      <c r="P613" s="8"/>
      <c r="Q613" s="8"/>
      <c r="R613" s="8"/>
      <c r="S613" s="8"/>
      <c r="T613" s="8"/>
      <c r="U613" s="5"/>
      <c r="V613" s="5"/>
      <c r="W613" s="5"/>
      <c r="X613" s="5"/>
      <c r="Y613" s="5"/>
      <c r="Z613" s="5"/>
      <c r="AA613" s="69"/>
      <c r="AB613" s="69"/>
      <c r="AC613" s="5"/>
      <c r="AD613" s="88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</row>
    <row r="614" spans="1:256" ht="23.1" customHeight="1" x14ac:dyDescent="0.25">
      <c r="A614" s="5"/>
      <c r="B614" s="288"/>
      <c r="C614" s="12"/>
      <c r="D614" s="12"/>
      <c r="E614" s="8"/>
      <c r="F614" s="8"/>
      <c r="G614" s="8"/>
      <c r="H614" s="8"/>
      <c r="I614" s="8"/>
      <c r="J614" s="72"/>
      <c r="K614" s="72"/>
      <c r="L614" s="72"/>
      <c r="M614" s="72"/>
      <c r="N614" s="8"/>
      <c r="O614" s="8"/>
      <c r="P614" s="8"/>
      <c r="Q614" s="8"/>
      <c r="R614" s="8"/>
      <c r="S614" s="8"/>
      <c r="T614" s="8"/>
      <c r="U614" s="5"/>
      <c r="V614" s="5"/>
      <c r="W614" s="5"/>
      <c r="X614" s="5"/>
      <c r="Y614" s="5"/>
      <c r="Z614" s="5"/>
      <c r="AA614" s="69"/>
      <c r="AB614" s="69"/>
      <c r="AC614" s="5"/>
      <c r="AD614" s="88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</row>
    <row r="615" spans="1:256" ht="23.1" customHeight="1" x14ac:dyDescent="0.25">
      <c r="A615" s="5"/>
      <c r="B615" s="288"/>
      <c r="C615" s="12"/>
      <c r="D615" s="12"/>
      <c r="E615" s="8"/>
      <c r="F615" s="8"/>
      <c r="G615" s="8"/>
      <c r="H615" s="8"/>
      <c r="I615" s="8"/>
      <c r="J615" s="72"/>
      <c r="K615" s="72"/>
      <c r="L615" s="72"/>
      <c r="M615" s="72"/>
      <c r="N615" s="8"/>
      <c r="O615" s="8"/>
      <c r="P615" s="8"/>
      <c r="Q615" s="8"/>
      <c r="R615" s="8"/>
      <c r="S615" s="8"/>
      <c r="T615" s="8"/>
      <c r="U615" s="5"/>
      <c r="V615" s="5"/>
      <c r="W615" s="5"/>
      <c r="X615" s="5"/>
      <c r="Y615" s="5"/>
      <c r="Z615" s="5"/>
      <c r="AA615" s="69"/>
      <c r="AB615" s="69"/>
      <c r="AC615" s="5"/>
      <c r="AD615" s="88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</row>
    <row r="616" spans="1:256" ht="23.1" customHeight="1" x14ac:dyDescent="0.25">
      <c r="A616" s="5"/>
      <c r="B616" s="288"/>
      <c r="C616" s="12"/>
      <c r="D616" s="12"/>
      <c r="E616" s="8"/>
      <c r="F616" s="8"/>
      <c r="G616" s="8"/>
      <c r="H616" s="8"/>
      <c r="I616" s="8"/>
      <c r="J616" s="72"/>
      <c r="K616" s="72"/>
      <c r="L616" s="72"/>
      <c r="M616" s="72"/>
      <c r="N616" s="8"/>
      <c r="O616" s="8"/>
      <c r="P616" s="8"/>
      <c r="Q616" s="8"/>
      <c r="R616" s="8"/>
      <c r="S616" s="8"/>
      <c r="T616" s="8"/>
      <c r="U616" s="5"/>
      <c r="V616" s="5"/>
      <c r="W616" s="5"/>
      <c r="X616" s="5"/>
      <c r="Y616" s="5"/>
      <c r="Z616" s="5"/>
      <c r="AA616" s="69"/>
      <c r="AB616" s="69"/>
      <c r="AC616" s="5"/>
      <c r="AD616" s="88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</row>
    <row r="617" spans="1:256" ht="23.1" customHeight="1" x14ac:dyDescent="0.25">
      <c r="A617" s="5"/>
      <c r="B617" s="288"/>
      <c r="C617" s="12"/>
      <c r="D617" s="12"/>
      <c r="E617" s="8"/>
      <c r="F617" s="8"/>
      <c r="G617" s="8"/>
      <c r="H617" s="8"/>
      <c r="I617" s="8"/>
      <c r="J617" s="72"/>
      <c r="K617" s="72"/>
      <c r="L617" s="72"/>
      <c r="M617" s="72"/>
      <c r="N617" s="8"/>
      <c r="O617" s="8"/>
      <c r="P617" s="8"/>
      <c r="Q617" s="8"/>
      <c r="R617" s="8"/>
      <c r="S617" s="8"/>
      <c r="T617" s="8"/>
      <c r="U617" s="5"/>
      <c r="V617" s="5"/>
      <c r="W617" s="5"/>
      <c r="X617" s="5"/>
      <c r="Y617" s="5"/>
      <c r="Z617" s="5"/>
      <c r="AA617" s="69"/>
      <c r="AB617" s="69"/>
      <c r="AC617" s="5"/>
      <c r="AD617" s="88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</row>
    <row r="618" spans="1:256" ht="23.1" customHeight="1" x14ac:dyDescent="0.25">
      <c r="A618" s="5"/>
      <c r="B618" s="288"/>
      <c r="C618" s="12"/>
      <c r="D618" s="12"/>
      <c r="E618" s="8"/>
      <c r="F618" s="8"/>
      <c r="G618" s="8"/>
      <c r="H618" s="8"/>
      <c r="I618" s="8"/>
      <c r="J618" s="72"/>
      <c r="K618" s="72"/>
      <c r="L618" s="72"/>
      <c r="M618" s="72"/>
      <c r="N618" s="8"/>
      <c r="O618" s="8"/>
      <c r="P618" s="8"/>
      <c r="Q618" s="8"/>
      <c r="R618" s="8"/>
      <c r="S618" s="8"/>
      <c r="T618" s="8"/>
      <c r="U618" s="5"/>
      <c r="V618" s="5"/>
      <c r="W618" s="5"/>
      <c r="X618" s="5"/>
      <c r="Y618" s="5"/>
      <c r="Z618" s="5"/>
      <c r="AA618" s="69"/>
      <c r="AB618" s="69"/>
      <c r="AC618" s="5"/>
      <c r="AD618" s="88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</row>
    <row r="619" spans="1:256" ht="23.1" customHeight="1" x14ac:dyDescent="0.25">
      <c r="A619" s="5"/>
      <c r="B619" s="288"/>
      <c r="C619" s="12"/>
      <c r="D619" s="12"/>
      <c r="E619" s="8"/>
      <c r="F619" s="8"/>
      <c r="G619" s="8"/>
      <c r="H619" s="8"/>
      <c r="I619" s="8"/>
      <c r="J619" s="72"/>
      <c r="K619" s="72"/>
      <c r="L619" s="72"/>
      <c r="M619" s="72"/>
      <c r="N619" s="8"/>
      <c r="O619" s="8"/>
      <c r="P619" s="8"/>
      <c r="Q619" s="8"/>
      <c r="R619" s="8"/>
      <c r="S619" s="8"/>
      <c r="T619" s="8"/>
      <c r="U619" s="5"/>
      <c r="V619" s="5"/>
      <c r="W619" s="5"/>
      <c r="X619" s="5"/>
      <c r="Y619" s="5"/>
      <c r="Z619" s="5"/>
      <c r="AA619" s="69"/>
      <c r="AB619" s="69"/>
      <c r="AC619" s="5"/>
      <c r="AD619" s="88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</row>
    <row r="620" spans="1:256" ht="23.1" customHeight="1" x14ac:dyDescent="0.25">
      <c r="A620" s="5"/>
      <c r="B620" s="288"/>
      <c r="C620" s="12"/>
      <c r="D620" s="12"/>
      <c r="E620" s="8"/>
      <c r="F620" s="8"/>
      <c r="G620" s="8"/>
      <c r="H620" s="8"/>
      <c r="I620" s="8"/>
      <c r="J620" s="72"/>
      <c r="K620" s="72"/>
      <c r="L620" s="72"/>
      <c r="M620" s="72"/>
      <c r="N620" s="8"/>
      <c r="O620" s="8"/>
      <c r="P620" s="8"/>
      <c r="Q620" s="8"/>
      <c r="R620" s="8"/>
      <c r="S620" s="8"/>
      <c r="T620" s="8"/>
      <c r="U620" s="5"/>
      <c r="V620" s="5"/>
      <c r="W620" s="5"/>
      <c r="X620" s="5"/>
      <c r="Y620" s="5"/>
      <c r="Z620" s="5"/>
      <c r="AA620" s="69"/>
      <c r="AB620" s="69"/>
      <c r="AC620" s="5"/>
      <c r="AD620" s="88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</row>
    <row r="621" spans="1:256" ht="23.1" customHeight="1" x14ac:dyDescent="0.25">
      <c r="A621" s="5"/>
      <c r="B621" s="288"/>
      <c r="C621" s="12"/>
      <c r="D621" s="12"/>
      <c r="E621" s="8"/>
      <c r="F621" s="8"/>
      <c r="G621" s="8"/>
      <c r="H621" s="8"/>
      <c r="I621" s="8"/>
      <c r="J621" s="72"/>
      <c r="K621" s="72"/>
      <c r="L621" s="72"/>
      <c r="M621" s="72"/>
      <c r="N621" s="8"/>
      <c r="O621" s="8"/>
      <c r="P621" s="8"/>
      <c r="Q621" s="8"/>
      <c r="R621" s="8"/>
      <c r="S621" s="8"/>
      <c r="T621" s="8"/>
      <c r="U621" s="5"/>
      <c r="V621" s="5"/>
      <c r="W621" s="5"/>
      <c r="X621" s="5"/>
      <c r="Y621" s="5"/>
      <c r="Z621" s="5"/>
      <c r="AA621" s="69"/>
      <c r="AB621" s="69"/>
      <c r="AC621" s="5"/>
      <c r="AD621" s="88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</row>
    <row r="622" spans="1:256" ht="23.1" customHeight="1" x14ac:dyDescent="0.25">
      <c r="A622" s="5"/>
      <c r="B622" s="288"/>
      <c r="C622" s="12"/>
      <c r="D622" s="12"/>
      <c r="E622" s="8"/>
      <c r="F622" s="8"/>
      <c r="G622" s="8"/>
      <c r="H622" s="8"/>
      <c r="I622" s="8"/>
      <c r="J622" s="72"/>
      <c r="K622" s="72"/>
      <c r="L622" s="72"/>
      <c r="M622" s="72"/>
      <c r="N622" s="8"/>
      <c r="O622" s="8"/>
      <c r="P622" s="8"/>
      <c r="Q622" s="8"/>
      <c r="R622" s="8"/>
      <c r="S622" s="8"/>
      <c r="T622" s="8"/>
      <c r="U622" s="5"/>
      <c r="V622" s="5"/>
      <c r="W622" s="5"/>
      <c r="X622" s="5"/>
      <c r="Y622" s="5"/>
      <c r="Z622" s="5"/>
      <c r="AA622" s="69"/>
      <c r="AB622" s="69"/>
      <c r="AC622" s="5"/>
      <c r="AD622" s="88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</row>
    <row r="623" spans="1:256" ht="23.1" customHeight="1" x14ac:dyDescent="0.25">
      <c r="A623" s="5"/>
      <c r="B623" s="288"/>
      <c r="C623" s="12"/>
      <c r="D623" s="12"/>
      <c r="E623" s="8"/>
      <c r="F623" s="8"/>
      <c r="G623" s="8"/>
      <c r="H623" s="8"/>
      <c r="I623" s="8"/>
      <c r="J623" s="72"/>
      <c r="K623" s="72"/>
      <c r="L623" s="72"/>
      <c r="M623" s="72"/>
      <c r="N623" s="8"/>
      <c r="O623" s="8"/>
      <c r="P623" s="8"/>
      <c r="Q623" s="8"/>
      <c r="R623" s="8"/>
      <c r="S623" s="8"/>
      <c r="T623" s="8"/>
      <c r="U623" s="5"/>
      <c r="V623" s="5"/>
      <c r="W623" s="5"/>
      <c r="X623" s="5"/>
      <c r="Y623" s="5"/>
      <c r="Z623" s="5"/>
      <c r="AA623" s="69"/>
      <c r="AB623" s="69"/>
      <c r="AC623" s="5"/>
      <c r="AD623" s="88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</row>
    <row r="624" spans="1:256" ht="23.1" customHeight="1" x14ac:dyDescent="0.25">
      <c r="A624" s="5"/>
      <c r="B624" s="288"/>
      <c r="C624" s="12"/>
      <c r="D624" s="12"/>
      <c r="E624" s="8"/>
      <c r="F624" s="8"/>
      <c r="G624" s="8"/>
      <c r="H624" s="8"/>
      <c r="I624" s="8"/>
      <c r="J624" s="72"/>
      <c r="K624" s="72"/>
      <c r="L624" s="72"/>
      <c r="M624" s="72"/>
      <c r="N624" s="8"/>
      <c r="O624" s="8"/>
      <c r="P624" s="8"/>
      <c r="Q624" s="8"/>
      <c r="R624" s="8"/>
      <c r="S624" s="8"/>
      <c r="T624" s="8"/>
      <c r="U624" s="5"/>
      <c r="V624" s="5"/>
      <c r="W624" s="5"/>
      <c r="X624" s="5"/>
      <c r="Y624" s="5"/>
      <c r="Z624" s="5"/>
      <c r="AA624" s="69"/>
      <c r="AB624" s="69"/>
      <c r="AC624" s="5"/>
      <c r="AD624" s="88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</row>
    <row r="625" spans="1:256" ht="23.1" customHeight="1" x14ac:dyDescent="0.25">
      <c r="A625" s="5"/>
      <c r="B625" s="288"/>
      <c r="C625" s="12"/>
      <c r="D625" s="12"/>
      <c r="E625" s="8"/>
      <c r="F625" s="8"/>
      <c r="G625" s="8"/>
      <c r="H625" s="8"/>
      <c r="I625" s="8"/>
      <c r="J625" s="72"/>
      <c r="K625" s="72"/>
      <c r="L625" s="72"/>
      <c r="M625" s="72"/>
      <c r="N625" s="8"/>
      <c r="O625" s="8"/>
      <c r="P625" s="8"/>
      <c r="Q625" s="8"/>
      <c r="R625" s="8"/>
      <c r="S625" s="8"/>
      <c r="T625" s="8"/>
      <c r="U625" s="5"/>
      <c r="V625" s="5"/>
      <c r="W625" s="5"/>
      <c r="X625" s="5"/>
      <c r="Y625" s="5"/>
      <c r="Z625" s="5"/>
      <c r="AA625" s="69"/>
      <c r="AB625" s="69"/>
      <c r="AC625" s="5"/>
      <c r="AD625" s="88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</row>
    <row r="626" spans="1:256" ht="23.1" customHeight="1" x14ac:dyDescent="0.25">
      <c r="A626" s="5"/>
      <c r="B626" s="288"/>
      <c r="C626" s="12"/>
      <c r="D626" s="12"/>
      <c r="E626" s="8"/>
      <c r="F626" s="8"/>
      <c r="G626" s="8"/>
      <c r="H626" s="8"/>
      <c r="I626" s="8"/>
      <c r="J626" s="72"/>
      <c r="K626" s="72"/>
      <c r="L626" s="72"/>
      <c r="M626" s="72"/>
      <c r="N626" s="8"/>
      <c r="O626" s="8"/>
      <c r="P626" s="8"/>
      <c r="Q626" s="8"/>
      <c r="R626" s="8"/>
      <c r="S626" s="8"/>
      <c r="T626" s="8"/>
      <c r="U626" s="5"/>
      <c r="V626" s="5"/>
      <c r="W626" s="5"/>
      <c r="X626" s="5"/>
      <c r="Y626" s="5"/>
      <c r="Z626" s="5"/>
      <c r="AA626" s="69"/>
      <c r="AB626" s="69"/>
      <c r="AC626" s="5"/>
      <c r="AD626" s="88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</row>
    <row r="627" spans="1:256" ht="23.1" customHeight="1" x14ac:dyDescent="0.25">
      <c r="A627" s="5"/>
      <c r="B627" s="288"/>
      <c r="C627" s="12"/>
      <c r="D627" s="12"/>
      <c r="E627" s="8"/>
      <c r="F627" s="8"/>
      <c r="G627" s="8"/>
      <c r="H627" s="8"/>
      <c r="I627" s="8"/>
      <c r="J627" s="72"/>
      <c r="K627" s="72"/>
      <c r="L627" s="72"/>
      <c r="M627" s="72"/>
      <c r="N627" s="8"/>
      <c r="O627" s="8"/>
      <c r="P627" s="8"/>
      <c r="Q627" s="8"/>
      <c r="R627" s="8"/>
      <c r="S627" s="8"/>
      <c r="T627" s="8"/>
      <c r="U627" s="5"/>
      <c r="V627" s="5"/>
      <c r="W627" s="5"/>
      <c r="X627" s="5"/>
      <c r="Y627" s="5"/>
      <c r="Z627" s="5"/>
      <c r="AA627" s="69"/>
      <c r="AB627" s="69"/>
      <c r="AC627" s="5"/>
      <c r="AD627" s="88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</row>
    <row r="628" spans="1:256" ht="23.1" customHeight="1" x14ac:dyDescent="0.25">
      <c r="A628" s="5"/>
      <c r="B628" s="288"/>
      <c r="C628" s="12"/>
      <c r="D628" s="12"/>
      <c r="E628" s="8"/>
      <c r="F628" s="8"/>
      <c r="G628" s="8"/>
      <c r="H628" s="8"/>
      <c r="I628" s="8"/>
      <c r="J628" s="72"/>
      <c r="K628" s="72"/>
      <c r="L628" s="72"/>
      <c r="M628" s="72"/>
      <c r="N628" s="8"/>
      <c r="O628" s="8"/>
      <c r="P628" s="8"/>
      <c r="Q628" s="8"/>
      <c r="R628" s="8"/>
      <c r="S628" s="8"/>
      <c r="T628" s="8"/>
      <c r="U628" s="5"/>
      <c r="V628" s="5"/>
      <c r="W628" s="5"/>
      <c r="X628" s="5"/>
      <c r="Y628" s="5"/>
      <c r="Z628" s="5"/>
      <c r="AA628" s="69"/>
      <c r="AB628" s="69"/>
      <c r="AC628" s="5"/>
      <c r="AD628" s="88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</row>
    <row r="629" spans="1:256" ht="23.1" customHeight="1" x14ac:dyDescent="0.25">
      <c r="A629" s="5"/>
      <c r="B629" s="288"/>
      <c r="C629" s="12"/>
      <c r="D629" s="12"/>
      <c r="E629" s="8"/>
      <c r="F629" s="8"/>
      <c r="G629" s="8"/>
      <c r="H629" s="8"/>
      <c r="I629" s="8"/>
      <c r="J629" s="72"/>
      <c r="K629" s="72"/>
      <c r="L629" s="72"/>
      <c r="M629" s="72"/>
      <c r="N629" s="8"/>
      <c r="O629" s="8"/>
      <c r="P629" s="8"/>
      <c r="Q629" s="8"/>
      <c r="R629" s="8"/>
      <c r="S629" s="8"/>
      <c r="T629" s="8"/>
      <c r="U629" s="5"/>
      <c r="V629" s="5"/>
      <c r="W629" s="5"/>
      <c r="X629" s="5"/>
      <c r="Y629" s="5"/>
      <c r="Z629" s="5"/>
      <c r="AA629" s="69"/>
      <c r="AB629" s="69"/>
      <c r="AC629" s="5"/>
      <c r="AD629" s="88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</row>
    <row r="630" spans="1:256" ht="23.1" customHeight="1" x14ac:dyDescent="0.25">
      <c r="A630" s="5"/>
      <c r="B630" s="288"/>
      <c r="C630" s="12"/>
      <c r="D630" s="12"/>
      <c r="E630" s="8"/>
      <c r="F630" s="8"/>
      <c r="G630" s="8"/>
      <c r="H630" s="8"/>
      <c r="I630" s="8"/>
      <c r="J630" s="72"/>
      <c r="K630" s="72"/>
      <c r="L630" s="72"/>
      <c r="M630" s="72"/>
      <c r="N630" s="8"/>
      <c r="O630" s="8"/>
      <c r="P630" s="8"/>
      <c r="Q630" s="8"/>
      <c r="R630" s="8"/>
      <c r="S630" s="8"/>
      <c r="T630" s="8"/>
      <c r="U630" s="5"/>
      <c r="V630" s="5"/>
      <c r="W630" s="5"/>
      <c r="X630" s="5"/>
      <c r="Y630" s="5"/>
      <c r="Z630" s="5"/>
      <c r="AA630" s="69"/>
      <c r="AB630" s="69"/>
      <c r="AC630" s="5"/>
      <c r="AD630" s="88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</row>
    <row r="631" spans="1:256" ht="23.1" customHeight="1" x14ac:dyDescent="0.25">
      <c r="A631" s="5"/>
      <c r="B631" s="288"/>
      <c r="C631" s="12"/>
      <c r="D631" s="12"/>
      <c r="E631" s="8"/>
      <c r="F631" s="8"/>
      <c r="G631" s="8"/>
      <c r="H631" s="8"/>
      <c r="I631" s="8"/>
      <c r="J631" s="72"/>
      <c r="K631" s="72"/>
      <c r="L631" s="72"/>
      <c r="M631" s="72"/>
      <c r="N631" s="8"/>
      <c r="O631" s="8"/>
      <c r="P631" s="8"/>
      <c r="Q631" s="8"/>
      <c r="R631" s="8"/>
      <c r="S631" s="8"/>
      <c r="T631" s="8"/>
      <c r="U631" s="5"/>
      <c r="V631" s="5"/>
      <c r="W631" s="5"/>
      <c r="X631" s="5"/>
      <c r="Y631" s="5"/>
      <c r="Z631" s="5"/>
      <c r="AA631" s="69"/>
      <c r="AB631" s="69"/>
      <c r="AC631" s="5"/>
      <c r="AD631" s="88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</row>
    <row r="632" spans="1:256" ht="23.1" customHeight="1" x14ac:dyDescent="0.25">
      <c r="A632" s="5"/>
      <c r="B632" s="288"/>
      <c r="C632" s="12"/>
      <c r="D632" s="12"/>
      <c r="E632" s="8"/>
      <c r="F632" s="8"/>
      <c r="G632" s="8"/>
      <c r="H632" s="8"/>
      <c r="I632" s="8"/>
      <c r="J632" s="72"/>
      <c r="K632" s="72"/>
      <c r="L632" s="72"/>
      <c r="M632" s="72"/>
      <c r="N632" s="8"/>
      <c r="O632" s="8"/>
      <c r="P632" s="8"/>
      <c r="Q632" s="8"/>
      <c r="R632" s="8"/>
      <c r="S632" s="8"/>
      <c r="T632" s="8"/>
      <c r="U632" s="5"/>
      <c r="V632" s="5"/>
      <c r="W632" s="5"/>
      <c r="X632" s="5"/>
      <c r="Y632" s="5"/>
      <c r="Z632" s="5"/>
      <c r="AA632" s="69"/>
      <c r="AB632" s="69"/>
      <c r="AC632" s="5"/>
      <c r="AD632" s="88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</row>
    <row r="633" spans="1:256" ht="23.1" customHeight="1" x14ac:dyDescent="0.25">
      <c r="A633" s="5"/>
      <c r="B633" s="288"/>
      <c r="C633" s="12"/>
      <c r="D633" s="12"/>
      <c r="E633" s="8"/>
      <c r="F633" s="8"/>
      <c r="G633" s="8"/>
      <c r="H633" s="8"/>
      <c r="I633" s="8"/>
      <c r="J633" s="72"/>
      <c r="K633" s="72"/>
      <c r="L633" s="72"/>
      <c r="M633" s="72"/>
      <c r="N633" s="8"/>
      <c r="O633" s="8"/>
      <c r="P633" s="8"/>
      <c r="Q633" s="8"/>
      <c r="R633" s="8"/>
      <c r="S633" s="8"/>
      <c r="T633" s="8"/>
      <c r="U633" s="5"/>
      <c r="V633" s="5"/>
      <c r="W633" s="5"/>
      <c r="X633" s="5"/>
      <c r="Y633" s="5"/>
      <c r="Z633" s="5"/>
      <c r="AA633" s="69"/>
      <c r="AB633" s="69"/>
      <c r="AC633" s="5"/>
      <c r="AD633" s="88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</row>
    <row r="634" spans="1:256" ht="23.1" customHeight="1" x14ac:dyDescent="0.25">
      <c r="A634" s="5"/>
      <c r="B634" s="288"/>
      <c r="C634" s="12"/>
      <c r="D634" s="12"/>
      <c r="E634" s="8"/>
      <c r="F634" s="8"/>
      <c r="G634" s="8"/>
      <c r="H634" s="8"/>
      <c r="I634" s="8"/>
      <c r="J634" s="72"/>
      <c r="K634" s="72"/>
      <c r="L634" s="72"/>
      <c r="M634" s="72"/>
      <c r="N634" s="8"/>
      <c r="O634" s="8"/>
      <c r="P634" s="8"/>
      <c r="Q634" s="8"/>
      <c r="R634" s="8"/>
      <c r="S634" s="8"/>
      <c r="T634" s="8"/>
      <c r="U634" s="5"/>
      <c r="V634" s="5"/>
      <c r="W634" s="5"/>
      <c r="X634" s="5"/>
      <c r="Y634" s="5"/>
      <c r="Z634" s="5"/>
      <c r="AA634" s="69"/>
      <c r="AB634" s="69"/>
      <c r="AC634" s="5"/>
      <c r="AD634" s="88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</row>
    <row r="635" spans="1:256" ht="23.1" customHeight="1" x14ac:dyDescent="0.25">
      <c r="A635" s="5"/>
      <c r="B635" s="288"/>
      <c r="C635" s="12"/>
      <c r="D635" s="12"/>
      <c r="E635" s="8"/>
      <c r="F635" s="8"/>
      <c r="G635" s="8"/>
      <c r="H635" s="8"/>
      <c r="I635" s="8"/>
      <c r="J635" s="72"/>
      <c r="K635" s="72"/>
      <c r="L635" s="72"/>
      <c r="M635" s="72"/>
      <c r="N635" s="8"/>
      <c r="O635" s="8"/>
      <c r="P635" s="8"/>
      <c r="Q635" s="8"/>
      <c r="R635" s="8"/>
      <c r="S635" s="8"/>
      <c r="T635" s="8"/>
      <c r="U635" s="5"/>
      <c r="V635" s="5"/>
      <c r="W635" s="5"/>
      <c r="X635" s="5"/>
      <c r="Y635" s="5"/>
      <c r="Z635" s="5"/>
      <c r="AA635" s="69"/>
      <c r="AB635" s="69"/>
      <c r="AC635" s="5"/>
      <c r="AD635" s="88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</row>
    <row r="636" spans="1:256" ht="23.1" customHeight="1" x14ac:dyDescent="0.25">
      <c r="A636" s="5"/>
      <c r="B636" s="288"/>
      <c r="C636" s="12"/>
      <c r="D636" s="12"/>
      <c r="E636" s="8"/>
      <c r="F636" s="8"/>
      <c r="G636" s="8"/>
      <c r="H636" s="8"/>
      <c r="I636" s="8"/>
      <c r="J636" s="72"/>
      <c r="K636" s="72"/>
      <c r="L636" s="72"/>
      <c r="M636" s="72"/>
      <c r="N636" s="8"/>
      <c r="O636" s="8"/>
      <c r="P636" s="8"/>
      <c r="Q636" s="8"/>
      <c r="R636" s="8"/>
      <c r="S636" s="8"/>
      <c r="T636" s="8"/>
      <c r="U636" s="5"/>
      <c r="V636" s="5"/>
      <c r="W636" s="5"/>
      <c r="X636" s="5"/>
      <c r="Y636" s="5"/>
      <c r="Z636" s="5"/>
      <c r="AA636" s="69"/>
      <c r="AB636" s="69"/>
      <c r="AC636" s="5"/>
      <c r="AD636" s="88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</row>
    <row r="637" spans="1:256" ht="23.1" customHeight="1" x14ac:dyDescent="0.25">
      <c r="A637" s="5"/>
      <c r="B637" s="288"/>
      <c r="C637" s="12"/>
      <c r="D637" s="12"/>
      <c r="E637" s="8"/>
      <c r="F637" s="8"/>
      <c r="G637" s="8"/>
      <c r="H637" s="8"/>
      <c r="I637" s="8"/>
      <c r="J637" s="72"/>
      <c r="K637" s="72"/>
      <c r="L637" s="72"/>
      <c r="M637" s="72"/>
      <c r="N637" s="8"/>
      <c r="O637" s="8"/>
      <c r="P637" s="8"/>
      <c r="Q637" s="8"/>
      <c r="R637" s="8"/>
      <c r="S637" s="8"/>
      <c r="T637" s="8"/>
      <c r="U637" s="5"/>
      <c r="V637" s="5"/>
      <c r="W637" s="5"/>
      <c r="X637" s="5"/>
      <c r="Y637" s="5"/>
      <c r="Z637" s="5"/>
      <c r="AA637" s="69"/>
      <c r="AB637" s="69"/>
      <c r="AC637" s="5"/>
      <c r="AD637" s="88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</row>
    <row r="638" spans="1:256" ht="23.1" customHeight="1" x14ac:dyDescent="0.25">
      <c r="A638" s="5"/>
      <c r="B638" s="288"/>
      <c r="C638" s="12"/>
      <c r="D638" s="12"/>
      <c r="E638" s="8"/>
      <c r="F638" s="8"/>
      <c r="G638" s="8"/>
      <c r="H638" s="8"/>
      <c r="I638" s="8"/>
      <c r="J638" s="72"/>
      <c r="K638" s="72"/>
      <c r="L638" s="72"/>
      <c r="M638" s="72"/>
      <c r="N638" s="8"/>
      <c r="O638" s="8"/>
      <c r="P638" s="8"/>
      <c r="Q638" s="8"/>
      <c r="R638" s="8"/>
      <c r="S638" s="8"/>
      <c r="T638" s="8"/>
      <c r="U638" s="5"/>
      <c r="V638" s="5"/>
      <c r="W638" s="5"/>
      <c r="X638" s="5"/>
      <c r="Y638" s="5"/>
      <c r="Z638" s="5"/>
      <c r="AA638" s="69"/>
      <c r="AB638" s="69"/>
      <c r="AC638" s="5"/>
      <c r="AD638" s="88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</row>
    <row r="639" spans="1:256" ht="23.1" customHeight="1" x14ac:dyDescent="0.25">
      <c r="A639" s="5"/>
      <c r="B639" s="288"/>
      <c r="C639" s="12"/>
      <c r="D639" s="12"/>
      <c r="E639" s="8"/>
      <c r="F639" s="8"/>
      <c r="G639" s="8"/>
      <c r="H639" s="8"/>
      <c r="I639" s="8"/>
      <c r="J639" s="72"/>
      <c r="K639" s="72"/>
      <c r="L639" s="72"/>
      <c r="M639" s="72"/>
      <c r="N639" s="8"/>
      <c r="O639" s="8"/>
      <c r="P639" s="8"/>
      <c r="Q639" s="8"/>
      <c r="R639" s="8"/>
      <c r="S639" s="8"/>
      <c r="T639" s="8"/>
      <c r="U639" s="5"/>
      <c r="V639" s="5"/>
      <c r="W639" s="5"/>
      <c r="X639" s="5"/>
      <c r="Y639" s="5"/>
      <c r="Z639" s="5"/>
      <c r="AA639" s="69"/>
      <c r="AB639" s="69"/>
      <c r="AC639" s="5"/>
      <c r="AD639" s="88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</row>
    <row r="640" spans="1:256" ht="23.1" customHeight="1" x14ac:dyDescent="0.25">
      <c r="A640" s="5"/>
      <c r="B640" s="288"/>
      <c r="C640" s="12"/>
      <c r="D640" s="12"/>
      <c r="E640" s="8"/>
      <c r="F640" s="8"/>
      <c r="G640" s="8"/>
      <c r="H640" s="8"/>
      <c r="I640" s="8"/>
      <c r="J640" s="72"/>
      <c r="K640" s="72"/>
      <c r="L640" s="72"/>
      <c r="M640" s="72"/>
      <c r="N640" s="8"/>
      <c r="O640" s="8"/>
      <c r="P640" s="8"/>
      <c r="Q640" s="8"/>
      <c r="R640" s="8"/>
      <c r="S640" s="8"/>
      <c r="T640" s="8"/>
      <c r="U640" s="5"/>
      <c r="V640" s="5"/>
      <c r="W640" s="5"/>
      <c r="X640" s="5"/>
      <c r="Y640" s="5"/>
      <c r="Z640" s="5"/>
      <c r="AA640" s="69"/>
      <c r="AB640" s="69"/>
      <c r="AC640" s="5"/>
      <c r="AD640" s="88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</row>
    <row r="641" spans="1:256" ht="23.1" customHeight="1" x14ac:dyDescent="0.25">
      <c r="A641" s="5"/>
      <c r="B641" s="288"/>
      <c r="C641" s="12"/>
      <c r="D641" s="12"/>
      <c r="E641" s="8"/>
      <c r="F641" s="8"/>
      <c r="G641" s="8"/>
      <c r="H641" s="8"/>
      <c r="I641" s="8"/>
      <c r="J641" s="72"/>
      <c r="K641" s="72"/>
      <c r="L641" s="72"/>
      <c r="M641" s="72"/>
      <c r="N641" s="8"/>
      <c r="O641" s="8"/>
      <c r="P641" s="8"/>
      <c r="Q641" s="8"/>
      <c r="R641" s="8"/>
      <c r="S641" s="8"/>
      <c r="T641" s="8"/>
      <c r="U641" s="5"/>
      <c r="V641" s="5"/>
      <c r="W641" s="5"/>
      <c r="X641" s="5"/>
      <c r="Y641" s="5"/>
      <c r="Z641" s="5"/>
      <c r="AA641" s="69"/>
      <c r="AB641" s="69"/>
      <c r="AC641" s="5"/>
      <c r="AD641" s="88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</row>
    <row r="642" spans="1:256" ht="23.1" customHeight="1" x14ac:dyDescent="0.25">
      <c r="A642" s="5"/>
      <c r="B642" s="288"/>
      <c r="C642" s="12"/>
      <c r="D642" s="12"/>
      <c r="E642" s="8"/>
      <c r="F642" s="8"/>
      <c r="G642" s="8"/>
      <c r="H642" s="8"/>
      <c r="I642" s="8"/>
      <c r="J642" s="72"/>
      <c r="K642" s="72"/>
      <c r="L642" s="72"/>
      <c r="M642" s="72"/>
      <c r="N642" s="8"/>
      <c r="O642" s="8"/>
      <c r="P642" s="8"/>
      <c r="Q642" s="8"/>
      <c r="R642" s="8"/>
      <c r="S642" s="8"/>
      <c r="T642" s="8"/>
      <c r="U642" s="5"/>
      <c r="V642" s="5"/>
      <c r="W642" s="5"/>
      <c r="X642" s="5"/>
      <c r="Y642" s="5"/>
      <c r="Z642" s="5"/>
      <c r="AA642" s="69"/>
      <c r="AB642" s="69"/>
      <c r="AC642" s="5"/>
      <c r="AD642" s="88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</row>
    <row r="643" spans="1:256" ht="23.1" customHeight="1" x14ac:dyDescent="0.25">
      <c r="A643" s="5"/>
      <c r="B643" s="288"/>
      <c r="C643" s="12"/>
      <c r="D643" s="12"/>
      <c r="E643" s="8"/>
      <c r="F643" s="8"/>
      <c r="G643" s="8"/>
      <c r="H643" s="8"/>
      <c r="I643" s="8"/>
      <c r="J643" s="72"/>
      <c r="K643" s="72"/>
      <c r="L643" s="72"/>
      <c r="M643" s="72"/>
      <c r="N643" s="8"/>
      <c r="O643" s="8"/>
      <c r="P643" s="8"/>
      <c r="Q643" s="8"/>
      <c r="R643" s="8"/>
      <c r="S643" s="8"/>
      <c r="T643" s="8"/>
      <c r="U643" s="5"/>
      <c r="V643" s="5"/>
      <c r="W643" s="5"/>
      <c r="X643" s="5"/>
      <c r="Y643" s="5"/>
      <c r="Z643" s="5"/>
      <c r="AA643" s="69"/>
      <c r="AB643" s="69"/>
      <c r="AC643" s="5"/>
      <c r="AD643" s="88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</row>
    <row r="644" spans="1:256" ht="23.1" customHeight="1" x14ac:dyDescent="0.25">
      <c r="A644" s="5"/>
      <c r="B644" s="288"/>
      <c r="C644" s="12"/>
      <c r="D644" s="12"/>
      <c r="E644" s="8"/>
      <c r="F644" s="8"/>
      <c r="G644" s="8"/>
      <c r="H644" s="8"/>
      <c r="I644" s="8"/>
      <c r="J644" s="72"/>
      <c r="K644" s="72"/>
      <c r="L644" s="72"/>
      <c r="M644" s="72"/>
      <c r="N644" s="8"/>
      <c r="O644" s="8"/>
      <c r="P644" s="8"/>
      <c r="Q644" s="8"/>
      <c r="R644" s="8"/>
      <c r="S644" s="8"/>
      <c r="T644" s="8"/>
      <c r="U644" s="5"/>
      <c r="V644" s="5"/>
      <c r="W644" s="5"/>
      <c r="X644" s="5"/>
      <c r="Y644" s="5"/>
      <c r="Z644" s="5"/>
      <c r="AA644" s="69"/>
      <c r="AB644" s="69"/>
      <c r="AC644" s="5"/>
      <c r="AD644" s="88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</row>
    <row r="645" spans="1:256" ht="23.1" customHeight="1" x14ac:dyDescent="0.25">
      <c r="A645" s="5"/>
      <c r="B645" s="288"/>
      <c r="C645" s="12"/>
      <c r="D645" s="12"/>
      <c r="E645" s="8"/>
      <c r="F645" s="8"/>
      <c r="G645" s="8"/>
      <c r="H645" s="8"/>
      <c r="I645" s="8"/>
      <c r="J645" s="72"/>
      <c r="K645" s="72"/>
      <c r="L645" s="72"/>
      <c r="M645" s="72"/>
      <c r="N645" s="8"/>
      <c r="O645" s="8"/>
      <c r="P645" s="8"/>
      <c r="Q645" s="8"/>
      <c r="R645" s="8"/>
      <c r="S645" s="8"/>
      <c r="T645" s="8"/>
      <c r="U645" s="5"/>
      <c r="V645" s="5"/>
      <c r="W645" s="5"/>
      <c r="X645" s="5"/>
      <c r="Y645" s="5"/>
      <c r="Z645" s="5"/>
      <c r="AA645" s="69"/>
      <c r="AB645" s="69"/>
      <c r="AC645" s="5"/>
      <c r="AD645" s="88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</row>
    <row r="646" spans="1:256" ht="23.1" customHeight="1" x14ac:dyDescent="0.25">
      <c r="A646" s="5"/>
      <c r="B646" s="288"/>
      <c r="C646" s="12"/>
      <c r="D646" s="12"/>
      <c r="E646" s="8"/>
      <c r="F646" s="8"/>
      <c r="G646" s="8"/>
      <c r="H646" s="8"/>
      <c r="I646" s="8"/>
      <c r="J646" s="72"/>
      <c r="K646" s="72"/>
      <c r="L646" s="72"/>
      <c r="M646" s="72"/>
      <c r="N646" s="8"/>
      <c r="O646" s="8"/>
      <c r="P646" s="8"/>
      <c r="Q646" s="8"/>
      <c r="R646" s="8"/>
      <c r="S646" s="8"/>
      <c r="T646" s="8"/>
      <c r="U646" s="5"/>
      <c r="V646" s="5"/>
      <c r="W646" s="5"/>
      <c r="X646" s="5"/>
      <c r="Y646" s="5"/>
      <c r="Z646" s="5"/>
      <c r="AA646" s="69"/>
      <c r="AB646" s="69"/>
      <c r="AC646" s="5"/>
      <c r="AD646" s="88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</row>
    <row r="647" spans="1:256" ht="23.1" customHeight="1" x14ac:dyDescent="0.25">
      <c r="A647" s="5"/>
      <c r="B647" s="288"/>
      <c r="C647" s="12"/>
      <c r="D647" s="12"/>
      <c r="E647" s="8"/>
      <c r="F647" s="8"/>
      <c r="G647" s="8"/>
      <c r="H647" s="8"/>
      <c r="I647" s="8"/>
      <c r="J647" s="72"/>
      <c r="K647" s="72"/>
      <c r="L647" s="72"/>
      <c r="M647" s="72"/>
      <c r="N647" s="8"/>
      <c r="O647" s="8"/>
      <c r="P647" s="8"/>
      <c r="Q647" s="8"/>
      <c r="R647" s="8"/>
      <c r="S647" s="8"/>
      <c r="T647" s="8"/>
      <c r="U647" s="5"/>
      <c r="V647" s="5"/>
      <c r="W647" s="5"/>
      <c r="X647" s="5"/>
      <c r="Y647" s="5"/>
      <c r="Z647" s="5"/>
      <c r="AA647" s="69"/>
      <c r="AB647" s="69"/>
      <c r="AC647" s="5"/>
      <c r="AD647" s="88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</row>
    <row r="648" spans="1:256" ht="23.1" customHeight="1" x14ac:dyDescent="0.25">
      <c r="A648" s="5"/>
      <c r="B648" s="288"/>
      <c r="C648" s="12"/>
      <c r="D648" s="12"/>
      <c r="E648" s="8"/>
      <c r="F648" s="8"/>
      <c r="G648" s="8"/>
      <c r="H648" s="8"/>
      <c r="I648" s="8"/>
      <c r="J648" s="72"/>
      <c r="K648" s="72"/>
      <c r="L648" s="72"/>
      <c r="M648" s="72"/>
      <c r="N648" s="8"/>
      <c r="O648" s="8"/>
      <c r="P648" s="8"/>
      <c r="Q648" s="8"/>
      <c r="R648" s="8"/>
      <c r="S648" s="8"/>
      <c r="T648" s="8"/>
      <c r="U648" s="5"/>
      <c r="V648" s="5"/>
      <c r="W648" s="5"/>
      <c r="X648" s="5"/>
      <c r="Y648" s="5"/>
      <c r="Z648" s="5"/>
      <c r="AA648" s="69"/>
      <c r="AB648" s="69"/>
      <c r="AC648" s="5"/>
      <c r="AD648" s="88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</row>
    <row r="649" spans="1:256" ht="23.1" customHeight="1" x14ac:dyDescent="0.25">
      <c r="A649" s="5"/>
      <c r="B649" s="288"/>
      <c r="C649" s="12"/>
      <c r="D649" s="12"/>
      <c r="E649" s="8"/>
      <c r="F649" s="8"/>
      <c r="G649" s="8"/>
      <c r="H649" s="8"/>
      <c r="I649" s="8"/>
      <c r="J649" s="72"/>
      <c r="K649" s="72"/>
      <c r="L649" s="72"/>
      <c r="M649" s="72"/>
      <c r="N649" s="8"/>
      <c r="O649" s="8"/>
      <c r="P649" s="8"/>
      <c r="Q649" s="8"/>
      <c r="R649" s="8"/>
      <c r="S649" s="8"/>
      <c r="T649" s="8"/>
      <c r="U649" s="5"/>
      <c r="V649" s="5"/>
      <c r="W649" s="5"/>
      <c r="X649" s="5"/>
      <c r="Y649" s="5"/>
      <c r="Z649" s="5"/>
      <c r="AA649" s="69"/>
      <c r="AB649" s="69"/>
      <c r="AC649" s="5"/>
      <c r="AD649" s="88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</row>
    <row r="650" spans="1:256" ht="23.1" customHeight="1" x14ac:dyDescent="0.25">
      <c r="A650" s="5"/>
      <c r="B650" s="288"/>
      <c r="C650" s="12"/>
      <c r="D650" s="12"/>
      <c r="E650" s="8"/>
      <c r="F650" s="8"/>
      <c r="G650" s="8"/>
      <c r="H650" s="8"/>
      <c r="I650" s="8"/>
      <c r="J650" s="72"/>
      <c r="K650" s="72"/>
      <c r="L650" s="72"/>
      <c r="M650" s="72"/>
      <c r="N650" s="8"/>
      <c r="O650" s="8"/>
      <c r="P650" s="8"/>
      <c r="Q650" s="8"/>
      <c r="R650" s="8"/>
      <c r="S650" s="8"/>
      <c r="T650" s="8"/>
      <c r="U650" s="5"/>
      <c r="V650" s="5"/>
      <c r="W650" s="5"/>
      <c r="X650" s="5"/>
      <c r="Y650" s="5"/>
      <c r="Z650" s="5"/>
      <c r="AA650" s="69"/>
      <c r="AB650" s="69"/>
      <c r="AC650" s="5"/>
      <c r="AD650" s="88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</row>
    <row r="651" spans="1:256" ht="23.1" customHeight="1" x14ac:dyDescent="0.25">
      <c r="A651" s="5"/>
      <c r="B651" s="288"/>
      <c r="C651" s="12"/>
      <c r="D651" s="12"/>
      <c r="E651" s="8"/>
      <c r="F651" s="8"/>
      <c r="G651" s="8"/>
      <c r="H651" s="8"/>
      <c r="I651" s="8"/>
      <c r="J651" s="72"/>
      <c r="K651" s="72"/>
      <c r="L651" s="72"/>
      <c r="M651" s="72"/>
      <c r="N651" s="8"/>
      <c r="O651" s="8"/>
      <c r="P651" s="8"/>
      <c r="Q651" s="8"/>
      <c r="R651" s="8"/>
      <c r="S651" s="8"/>
      <c r="T651" s="8"/>
      <c r="U651" s="5"/>
      <c r="V651" s="5"/>
      <c r="W651" s="5"/>
      <c r="X651" s="5"/>
      <c r="Y651" s="5"/>
      <c r="Z651" s="5"/>
      <c r="AA651" s="69"/>
      <c r="AB651" s="69"/>
      <c r="AC651" s="5"/>
      <c r="AD651" s="88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</row>
    <row r="652" spans="1:256" ht="23.1" customHeight="1" x14ac:dyDescent="0.25">
      <c r="A652" s="5"/>
      <c r="B652" s="288"/>
      <c r="C652" s="12"/>
      <c r="D652" s="12"/>
      <c r="E652" s="8"/>
      <c r="F652" s="8"/>
      <c r="G652" s="8"/>
      <c r="H652" s="8"/>
      <c r="I652" s="8"/>
      <c r="J652" s="72"/>
      <c r="K652" s="72"/>
      <c r="L652" s="72"/>
      <c r="M652" s="72"/>
      <c r="N652" s="8"/>
      <c r="O652" s="8"/>
      <c r="P652" s="8"/>
      <c r="Q652" s="8"/>
      <c r="R652" s="8"/>
      <c r="S652" s="8"/>
      <c r="T652" s="8"/>
      <c r="U652" s="5"/>
      <c r="V652" s="5"/>
      <c r="W652" s="5"/>
      <c r="X652" s="5"/>
      <c r="Y652" s="5"/>
      <c r="Z652" s="5"/>
      <c r="AA652" s="69"/>
      <c r="AB652" s="69"/>
      <c r="AC652" s="5"/>
      <c r="AD652" s="88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</row>
    <row r="653" spans="1:256" ht="23.1" customHeight="1" x14ac:dyDescent="0.25">
      <c r="A653" s="5"/>
      <c r="B653" s="288"/>
      <c r="C653" s="12"/>
      <c r="D653" s="12"/>
      <c r="E653" s="8"/>
      <c r="F653" s="8"/>
      <c r="G653" s="8"/>
      <c r="H653" s="8"/>
      <c r="I653" s="8"/>
      <c r="J653" s="72"/>
      <c r="K653" s="72"/>
      <c r="L653" s="72"/>
      <c r="M653" s="72"/>
      <c r="N653" s="8"/>
      <c r="O653" s="8"/>
      <c r="P653" s="8"/>
      <c r="Q653" s="8"/>
      <c r="R653" s="8"/>
      <c r="S653" s="8"/>
      <c r="T653" s="8"/>
      <c r="U653" s="5"/>
      <c r="V653" s="5"/>
      <c r="W653" s="5"/>
      <c r="X653" s="5"/>
      <c r="Y653" s="5"/>
      <c r="Z653" s="5"/>
      <c r="AA653" s="69"/>
      <c r="AB653" s="69"/>
      <c r="AC653" s="5"/>
      <c r="AD653" s="88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</row>
    <row r="654" spans="1:256" ht="23.1" customHeight="1" x14ac:dyDescent="0.25">
      <c r="A654" s="5"/>
      <c r="B654" s="288"/>
      <c r="C654" s="12"/>
      <c r="D654" s="12"/>
      <c r="E654" s="8"/>
      <c r="F654" s="8"/>
      <c r="G654" s="8"/>
      <c r="H654" s="8"/>
      <c r="I654" s="8"/>
      <c r="J654" s="72"/>
      <c r="K654" s="72"/>
      <c r="L654" s="72"/>
      <c r="M654" s="72"/>
      <c r="N654" s="8"/>
      <c r="O654" s="8"/>
      <c r="P654" s="8"/>
      <c r="Q654" s="8"/>
      <c r="R654" s="8"/>
      <c r="S654" s="8"/>
      <c r="T654" s="8"/>
      <c r="U654" s="5"/>
      <c r="V654" s="5"/>
      <c r="W654" s="5"/>
      <c r="X654" s="5"/>
      <c r="Y654" s="5"/>
      <c r="Z654" s="5"/>
      <c r="AA654" s="69"/>
      <c r="AB654" s="69"/>
      <c r="AC654" s="5"/>
      <c r="AD654" s="88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</row>
    <row r="655" spans="1:256" ht="23.1" customHeight="1" x14ac:dyDescent="0.25">
      <c r="A655" s="5"/>
      <c r="B655" s="288"/>
      <c r="C655" s="12"/>
      <c r="D655" s="12"/>
      <c r="E655" s="8"/>
      <c r="F655" s="8"/>
      <c r="G655" s="8"/>
      <c r="H655" s="8"/>
      <c r="I655" s="8"/>
      <c r="J655" s="72"/>
      <c r="K655" s="72"/>
      <c r="L655" s="72"/>
      <c r="M655" s="72"/>
      <c r="N655" s="8"/>
      <c r="O655" s="8"/>
      <c r="P655" s="8"/>
      <c r="Q655" s="8"/>
      <c r="R655" s="8"/>
      <c r="S655" s="8"/>
      <c r="T655" s="8"/>
      <c r="U655" s="5"/>
      <c r="V655" s="5"/>
      <c r="W655" s="5"/>
      <c r="X655" s="5"/>
      <c r="Y655" s="5"/>
      <c r="Z655" s="5"/>
      <c r="AA655" s="69"/>
      <c r="AB655" s="69"/>
      <c r="AC655" s="5"/>
      <c r="AD655" s="88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</row>
    <row r="656" spans="1:256" ht="23.1" customHeight="1" x14ac:dyDescent="0.25">
      <c r="A656" s="5"/>
      <c r="B656" s="288"/>
      <c r="C656" s="12"/>
      <c r="D656" s="12"/>
      <c r="E656" s="8"/>
      <c r="F656" s="8"/>
      <c r="G656" s="8"/>
      <c r="H656" s="8"/>
      <c r="I656" s="8"/>
      <c r="J656" s="72"/>
      <c r="K656" s="72"/>
      <c r="L656" s="72"/>
      <c r="M656" s="72"/>
      <c r="N656" s="8"/>
      <c r="O656" s="8"/>
      <c r="P656" s="8"/>
      <c r="Q656" s="8"/>
      <c r="R656" s="8"/>
      <c r="S656" s="8"/>
      <c r="T656" s="8"/>
      <c r="U656" s="5"/>
      <c r="V656" s="5"/>
      <c r="W656" s="5"/>
      <c r="X656" s="5"/>
      <c r="Y656" s="5"/>
      <c r="Z656" s="5"/>
      <c r="AA656" s="69"/>
      <c r="AB656" s="69"/>
      <c r="AC656" s="5"/>
      <c r="AD656" s="88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</row>
    <row r="657" spans="1:256" ht="23.1" customHeight="1" x14ac:dyDescent="0.25">
      <c r="A657" s="5"/>
      <c r="B657" s="288"/>
      <c r="C657" s="12"/>
      <c r="D657" s="12"/>
      <c r="E657" s="8"/>
      <c r="F657" s="8"/>
      <c r="G657" s="8"/>
      <c r="H657" s="8"/>
      <c r="I657" s="8"/>
      <c r="J657" s="72"/>
      <c r="K657" s="72"/>
      <c r="L657" s="72"/>
      <c r="M657" s="72"/>
      <c r="N657" s="8"/>
      <c r="O657" s="8"/>
      <c r="P657" s="8"/>
      <c r="Q657" s="8"/>
      <c r="R657" s="8"/>
      <c r="S657" s="8"/>
      <c r="T657" s="8"/>
      <c r="U657" s="5"/>
      <c r="V657" s="5"/>
      <c r="W657" s="5"/>
      <c r="X657" s="5"/>
      <c r="Y657" s="5"/>
      <c r="Z657" s="5"/>
      <c r="AA657" s="69"/>
      <c r="AB657" s="69"/>
      <c r="AC657" s="5"/>
      <c r="AD657" s="88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</row>
    <row r="658" spans="1:256" ht="23.1" customHeight="1" x14ac:dyDescent="0.25">
      <c r="A658" s="5"/>
      <c r="B658" s="288"/>
      <c r="C658" s="12"/>
      <c r="D658" s="12"/>
      <c r="E658" s="8"/>
      <c r="F658" s="8"/>
      <c r="G658" s="8"/>
      <c r="H658" s="8"/>
      <c r="I658" s="8"/>
      <c r="J658" s="72"/>
      <c r="K658" s="72"/>
      <c r="L658" s="72"/>
      <c r="M658" s="72"/>
      <c r="N658" s="8"/>
      <c r="O658" s="8"/>
      <c r="P658" s="8"/>
      <c r="Q658" s="8"/>
      <c r="R658" s="8"/>
      <c r="S658" s="8"/>
      <c r="T658" s="8"/>
      <c r="U658" s="5"/>
      <c r="V658" s="5"/>
      <c r="W658" s="5"/>
      <c r="X658" s="5"/>
      <c r="Y658" s="5"/>
      <c r="Z658" s="5"/>
      <c r="AA658" s="69"/>
      <c r="AB658" s="69"/>
      <c r="AC658" s="5"/>
      <c r="AD658" s="88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</row>
    <row r="659" spans="1:256" ht="23.1" customHeight="1" x14ac:dyDescent="0.25">
      <c r="A659" s="5"/>
      <c r="B659" s="288"/>
      <c r="C659" s="12"/>
      <c r="D659" s="12"/>
      <c r="E659" s="8"/>
      <c r="F659" s="8"/>
      <c r="G659" s="8"/>
      <c r="H659" s="8"/>
      <c r="I659" s="8"/>
      <c r="J659" s="72"/>
      <c r="K659" s="72"/>
      <c r="L659" s="72"/>
      <c r="M659" s="72"/>
      <c r="N659" s="8"/>
      <c r="O659" s="8"/>
      <c r="P659" s="8"/>
      <c r="Q659" s="8"/>
      <c r="R659" s="8"/>
      <c r="S659" s="8"/>
      <c r="T659" s="8"/>
      <c r="U659" s="5"/>
      <c r="V659" s="5"/>
      <c r="W659" s="5"/>
      <c r="X659" s="5"/>
      <c r="Y659" s="5"/>
      <c r="Z659" s="5"/>
      <c r="AA659" s="69"/>
      <c r="AB659" s="69"/>
      <c r="AC659" s="5"/>
      <c r="AD659" s="88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</row>
    <row r="660" spans="1:256" ht="23.1" customHeight="1" x14ac:dyDescent="0.25">
      <c r="A660" s="5"/>
      <c r="B660" s="288"/>
      <c r="C660" s="12"/>
      <c r="D660" s="12"/>
      <c r="E660" s="8"/>
      <c r="F660" s="8"/>
      <c r="G660" s="8"/>
      <c r="H660" s="8"/>
      <c r="I660" s="8"/>
      <c r="J660" s="72"/>
      <c r="K660" s="72"/>
      <c r="L660" s="72"/>
      <c r="M660" s="72"/>
      <c r="N660" s="8"/>
      <c r="O660" s="8"/>
      <c r="P660" s="8"/>
      <c r="Q660" s="8"/>
      <c r="R660" s="8"/>
      <c r="S660" s="8"/>
      <c r="T660" s="8"/>
      <c r="U660" s="5"/>
      <c r="V660" s="5"/>
      <c r="W660" s="5"/>
      <c r="X660" s="5"/>
      <c r="Y660" s="5"/>
      <c r="Z660" s="5"/>
      <c r="AA660" s="69"/>
      <c r="AB660" s="69"/>
      <c r="AC660" s="5"/>
      <c r="AD660" s="88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</row>
    <row r="661" spans="1:256" ht="23.1" customHeight="1" x14ac:dyDescent="0.25">
      <c r="A661" s="5"/>
      <c r="B661" s="288"/>
      <c r="C661" s="12"/>
      <c r="D661" s="12"/>
      <c r="E661" s="8"/>
      <c r="F661" s="8"/>
      <c r="G661" s="8"/>
      <c r="H661" s="8"/>
      <c r="I661" s="8"/>
      <c r="J661" s="72"/>
      <c r="K661" s="72"/>
      <c r="L661" s="72"/>
      <c r="M661" s="72"/>
      <c r="N661" s="8"/>
      <c r="O661" s="8"/>
      <c r="P661" s="8"/>
      <c r="Q661" s="8"/>
      <c r="R661" s="8"/>
      <c r="S661" s="8"/>
      <c r="T661" s="8"/>
      <c r="U661" s="5"/>
      <c r="V661" s="5"/>
      <c r="W661" s="5"/>
      <c r="X661" s="5"/>
      <c r="Y661" s="5"/>
      <c r="Z661" s="5"/>
      <c r="AA661" s="69"/>
      <c r="AB661" s="69"/>
      <c r="AC661" s="5"/>
      <c r="AD661" s="88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</row>
    <row r="662" spans="1:256" ht="23.1" customHeight="1" x14ac:dyDescent="0.25">
      <c r="A662" s="5"/>
      <c r="B662" s="288"/>
      <c r="C662" s="12"/>
      <c r="D662" s="12"/>
      <c r="E662" s="8"/>
      <c r="F662" s="8"/>
      <c r="G662" s="8"/>
      <c r="H662" s="8"/>
      <c r="I662" s="8"/>
      <c r="J662" s="72"/>
      <c r="K662" s="72"/>
      <c r="L662" s="72"/>
      <c r="M662" s="72"/>
      <c r="N662" s="8"/>
      <c r="O662" s="8"/>
      <c r="P662" s="8"/>
      <c r="Q662" s="8"/>
      <c r="R662" s="8"/>
      <c r="S662" s="8"/>
      <c r="T662" s="8"/>
      <c r="U662" s="5"/>
      <c r="V662" s="5"/>
      <c r="W662" s="5"/>
      <c r="X662" s="5"/>
      <c r="Y662" s="5"/>
      <c r="Z662" s="5"/>
      <c r="AA662" s="69"/>
      <c r="AB662" s="69"/>
      <c r="AC662" s="5"/>
      <c r="AD662" s="88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</row>
    <row r="663" spans="1:256" ht="23.1" customHeight="1" x14ac:dyDescent="0.25">
      <c r="A663" s="5"/>
      <c r="B663" s="288"/>
      <c r="C663" s="12"/>
      <c r="D663" s="12"/>
      <c r="E663" s="8"/>
      <c r="F663" s="8"/>
      <c r="G663" s="8"/>
      <c r="H663" s="8"/>
      <c r="I663" s="8"/>
      <c r="J663" s="72"/>
      <c r="K663" s="72"/>
      <c r="L663" s="72"/>
      <c r="M663" s="72"/>
      <c r="N663" s="8"/>
      <c r="O663" s="8"/>
      <c r="P663" s="8"/>
      <c r="Q663" s="8"/>
      <c r="R663" s="8"/>
      <c r="S663" s="8"/>
      <c r="T663" s="8"/>
      <c r="U663" s="5"/>
      <c r="V663" s="5"/>
      <c r="W663" s="5"/>
      <c r="X663" s="5"/>
      <c r="Y663" s="5"/>
      <c r="Z663" s="5"/>
      <c r="AA663" s="69"/>
      <c r="AB663" s="69"/>
      <c r="AC663" s="5"/>
      <c r="AD663" s="88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</row>
    <row r="664" spans="1:256" ht="23.1" customHeight="1" x14ac:dyDescent="0.25">
      <c r="A664" s="5"/>
      <c r="B664" s="288"/>
      <c r="C664" s="12"/>
      <c r="D664" s="12"/>
      <c r="E664" s="8"/>
      <c r="F664" s="8"/>
      <c r="G664" s="8"/>
      <c r="H664" s="8"/>
      <c r="I664" s="8"/>
      <c r="J664" s="72"/>
      <c r="K664" s="72"/>
      <c r="L664" s="72"/>
      <c r="M664" s="72"/>
      <c r="N664" s="8"/>
      <c r="O664" s="8"/>
      <c r="P664" s="8"/>
      <c r="Q664" s="8"/>
      <c r="R664" s="8"/>
      <c r="S664" s="8"/>
      <c r="T664" s="8"/>
      <c r="U664" s="5"/>
      <c r="V664" s="5"/>
      <c r="W664" s="5"/>
      <c r="X664" s="5"/>
      <c r="Y664" s="5"/>
      <c r="Z664" s="5"/>
      <c r="AA664" s="69"/>
      <c r="AB664" s="69"/>
      <c r="AC664" s="5"/>
      <c r="AD664" s="88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</row>
    <row r="665" spans="1:256" ht="23.1" customHeight="1" x14ac:dyDescent="0.25">
      <c r="A665" s="5"/>
      <c r="B665" s="288"/>
      <c r="C665" s="12"/>
      <c r="D665" s="12"/>
      <c r="E665" s="8"/>
      <c r="F665" s="8"/>
      <c r="G665" s="8"/>
      <c r="H665" s="8"/>
      <c r="I665" s="8"/>
      <c r="J665" s="72"/>
      <c r="K665" s="72"/>
      <c r="L665" s="72"/>
      <c r="M665" s="72"/>
      <c r="N665" s="8"/>
      <c r="O665" s="8"/>
      <c r="P665" s="8"/>
      <c r="Q665" s="8"/>
      <c r="R665" s="8"/>
      <c r="S665" s="8"/>
      <c r="T665" s="8"/>
      <c r="U665" s="5"/>
      <c r="V665" s="5"/>
      <c r="W665" s="5"/>
      <c r="X665" s="5"/>
      <c r="Y665" s="5"/>
      <c r="Z665" s="5"/>
      <c r="AA665" s="69"/>
      <c r="AB665" s="69"/>
      <c r="AC665" s="5"/>
      <c r="AD665" s="88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</row>
    <row r="666" spans="1:256" ht="23.1" customHeight="1" x14ac:dyDescent="0.25">
      <c r="A666" s="5"/>
      <c r="B666" s="288"/>
      <c r="C666" s="12"/>
      <c r="D666" s="12"/>
      <c r="E666" s="8"/>
      <c r="F666" s="8"/>
      <c r="G666" s="8"/>
      <c r="H666" s="8"/>
      <c r="I666" s="8"/>
      <c r="J666" s="72"/>
      <c r="K666" s="72"/>
      <c r="L666" s="72"/>
      <c r="M666" s="72"/>
      <c r="N666" s="8"/>
      <c r="O666" s="8"/>
      <c r="P666" s="8"/>
      <c r="Q666" s="8"/>
      <c r="R666" s="8"/>
      <c r="S666" s="8"/>
      <c r="T666" s="8"/>
      <c r="U666" s="5"/>
      <c r="V666" s="5"/>
      <c r="W666" s="5"/>
      <c r="X666" s="5"/>
      <c r="Y666" s="5"/>
      <c r="Z666" s="5"/>
      <c r="AA666" s="69"/>
      <c r="AB666" s="69"/>
      <c r="AC666" s="5"/>
      <c r="AD666" s="88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</row>
    <row r="667" spans="1:256" ht="23.1" customHeight="1" x14ac:dyDescent="0.25">
      <c r="A667" s="5"/>
      <c r="B667" s="288"/>
      <c r="C667" s="12"/>
      <c r="D667" s="12"/>
      <c r="E667" s="8"/>
      <c r="F667" s="8"/>
      <c r="G667" s="8"/>
      <c r="H667" s="8"/>
      <c r="I667" s="8"/>
      <c r="J667" s="72"/>
      <c r="K667" s="72"/>
      <c r="L667" s="72"/>
      <c r="M667" s="72"/>
      <c r="N667" s="8"/>
      <c r="O667" s="8"/>
      <c r="P667" s="8"/>
      <c r="Q667" s="8"/>
      <c r="R667" s="8"/>
      <c r="S667" s="8"/>
      <c r="T667" s="8"/>
      <c r="U667" s="5"/>
      <c r="V667" s="5"/>
      <c r="W667" s="5"/>
      <c r="X667" s="5"/>
      <c r="Y667" s="5"/>
      <c r="Z667" s="5"/>
      <c r="AA667" s="69"/>
      <c r="AB667" s="69"/>
      <c r="AC667" s="5"/>
      <c r="AD667" s="88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</row>
    <row r="668" spans="1:256" ht="23.1" customHeight="1" x14ac:dyDescent="0.25">
      <c r="A668" s="5"/>
      <c r="B668" s="288"/>
      <c r="C668" s="12"/>
      <c r="D668" s="12"/>
      <c r="E668" s="8"/>
      <c r="F668" s="8"/>
      <c r="G668" s="8"/>
      <c r="H668" s="8"/>
      <c r="I668" s="8"/>
      <c r="J668" s="72"/>
      <c r="K668" s="72"/>
      <c r="L668" s="72"/>
      <c r="M668" s="72"/>
      <c r="N668" s="8"/>
      <c r="O668" s="8"/>
      <c r="P668" s="8"/>
      <c r="Q668" s="8"/>
      <c r="R668" s="8"/>
      <c r="S668" s="8"/>
      <c r="T668" s="8"/>
      <c r="U668" s="5"/>
      <c r="V668" s="5"/>
      <c r="W668" s="5"/>
      <c r="X668" s="5"/>
      <c r="Y668" s="5"/>
      <c r="Z668" s="5"/>
      <c r="AA668" s="69"/>
      <c r="AB668" s="69"/>
      <c r="AC668" s="5"/>
      <c r="AD668" s="88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</row>
    <row r="669" spans="1:256" ht="23.1" customHeight="1" x14ac:dyDescent="0.25">
      <c r="A669" s="5"/>
      <c r="B669" s="288"/>
      <c r="C669" s="12"/>
      <c r="D669" s="12"/>
      <c r="E669" s="8"/>
      <c r="F669" s="8"/>
      <c r="G669" s="8"/>
      <c r="H669" s="8"/>
      <c r="I669" s="8"/>
      <c r="J669" s="72"/>
      <c r="K669" s="72"/>
      <c r="L669" s="72"/>
      <c r="M669" s="72"/>
      <c r="N669" s="8"/>
      <c r="O669" s="8"/>
      <c r="P669" s="8"/>
      <c r="Q669" s="8"/>
      <c r="R669" s="8"/>
      <c r="S669" s="8"/>
      <c r="T669" s="8"/>
      <c r="U669" s="5"/>
      <c r="V669" s="5"/>
      <c r="W669" s="5"/>
      <c r="X669" s="5"/>
      <c r="Y669" s="5"/>
      <c r="Z669" s="5"/>
      <c r="AA669" s="69"/>
      <c r="AB669" s="69"/>
      <c r="AC669" s="5"/>
      <c r="AD669" s="88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</row>
    <row r="670" spans="1:256" ht="23.1" customHeight="1" x14ac:dyDescent="0.25">
      <c r="A670" s="5"/>
      <c r="B670" s="288"/>
      <c r="C670" s="12"/>
      <c r="D670" s="12"/>
      <c r="E670" s="8"/>
      <c r="F670" s="8"/>
      <c r="G670" s="8"/>
      <c r="H670" s="8"/>
      <c r="I670" s="8"/>
      <c r="J670" s="72"/>
      <c r="K670" s="72"/>
      <c r="L670" s="72"/>
      <c r="M670" s="72"/>
      <c r="N670" s="8"/>
      <c r="O670" s="8"/>
      <c r="P670" s="8"/>
      <c r="Q670" s="8"/>
      <c r="R670" s="8"/>
      <c r="S670" s="8"/>
      <c r="T670" s="8"/>
      <c r="U670" s="5"/>
      <c r="V670" s="5"/>
      <c r="W670" s="5"/>
      <c r="X670" s="5"/>
      <c r="Y670" s="5"/>
      <c r="Z670" s="5"/>
      <c r="AA670" s="69"/>
      <c r="AB670" s="69"/>
      <c r="AC670" s="5"/>
      <c r="AD670" s="88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</row>
    <row r="671" spans="1:256" ht="23.1" customHeight="1" x14ac:dyDescent="0.25">
      <c r="A671" s="5"/>
      <c r="B671" s="288"/>
      <c r="C671" s="12"/>
      <c r="D671" s="12"/>
      <c r="E671" s="8"/>
      <c r="F671" s="8"/>
      <c r="G671" s="8"/>
      <c r="H671" s="8"/>
      <c r="I671" s="8"/>
      <c r="J671" s="72"/>
      <c r="K671" s="72"/>
      <c r="L671" s="72"/>
      <c r="M671" s="72"/>
      <c r="N671" s="8"/>
      <c r="O671" s="8"/>
      <c r="P671" s="8"/>
      <c r="Q671" s="8"/>
      <c r="R671" s="8"/>
      <c r="S671" s="8"/>
      <c r="T671" s="8"/>
      <c r="U671" s="5"/>
      <c r="V671" s="5"/>
      <c r="W671" s="5"/>
      <c r="X671" s="5"/>
      <c r="Y671" s="5"/>
      <c r="Z671" s="5"/>
      <c r="AA671" s="69"/>
      <c r="AB671" s="69"/>
      <c r="AC671" s="5"/>
      <c r="AD671" s="88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</row>
    <row r="672" spans="1:256" ht="23.1" customHeight="1" x14ac:dyDescent="0.25">
      <c r="A672" s="5"/>
      <c r="B672" s="288"/>
      <c r="C672" s="12"/>
      <c r="D672" s="12"/>
      <c r="E672" s="8"/>
      <c r="F672" s="8"/>
      <c r="G672" s="8"/>
      <c r="H672" s="8"/>
      <c r="I672" s="8"/>
      <c r="J672" s="72"/>
      <c r="K672" s="72"/>
      <c r="L672" s="72"/>
      <c r="M672" s="72"/>
      <c r="N672" s="8"/>
      <c r="O672" s="8"/>
      <c r="P672" s="8"/>
      <c r="Q672" s="8"/>
      <c r="R672" s="8"/>
      <c r="S672" s="8"/>
      <c r="T672" s="8"/>
      <c r="U672" s="5"/>
      <c r="V672" s="5"/>
      <c r="W672" s="5"/>
      <c r="X672" s="5"/>
      <c r="Y672" s="5"/>
      <c r="Z672" s="5"/>
      <c r="AA672" s="69"/>
      <c r="AB672" s="69"/>
      <c r="AC672" s="5"/>
      <c r="AD672" s="88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</row>
    <row r="673" spans="1:256" ht="23.1" customHeight="1" x14ac:dyDescent="0.25">
      <c r="A673" s="5"/>
      <c r="B673" s="288"/>
      <c r="C673" s="12"/>
      <c r="D673" s="12"/>
      <c r="E673" s="8"/>
      <c r="F673" s="8"/>
      <c r="G673" s="8"/>
      <c r="H673" s="8"/>
      <c r="I673" s="8"/>
      <c r="J673" s="72"/>
      <c r="K673" s="72"/>
      <c r="L673" s="72"/>
      <c r="M673" s="72"/>
      <c r="N673" s="8"/>
      <c r="O673" s="8"/>
      <c r="P673" s="8"/>
      <c r="Q673" s="8"/>
      <c r="R673" s="8"/>
      <c r="S673" s="8"/>
      <c r="T673" s="8"/>
      <c r="U673" s="5"/>
      <c r="V673" s="5"/>
      <c r="W673" s="5"/>
      <c r="X673" s="5"/>
      <c r="Y673" s="5"/>
      <c r="Z673" s="5"/>
      <c r="AA673" s="69"/>
      <c r="AB673" s="69"/>
      <c r="AC673" s="5"/>
      <c r="AD673" s="88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</row>
    <row r="674" spans="1:256" ht="23.1" customHeight="1" x14ac:dyDescent="0.25">
      <c r="A674" s="5"/>
      <c r="B674" s="288"/>
      <c r="C674" s="12"/>
      <c r="D674" s="12"/>
      <c r="E674" s="8"/>
      <c r="F674" s="8"/>
      <c r="G674" s="8"/>
      <c r="H674" s="8"/>
      <c r="I674" s="8"/>
      <c r="J674" s="72"/>
      <c r="K674" s="72"/>
      <c r="L674" s="72"/>
      <c r="M674" s="72"/>
      <c r="N674" s="8"/>
      <c r="O674" s="8"/>
      <c r="P674" s="8"/>
      <c r="Q674" s="8"/>
      <c r="R674" s="8"/>
      <c r="S674" s="8"/>
      <c r="T674" s="8"/>
      <c r="U674" s="5"/>
      <c r="V674" s="5"/>
      <c r="W674" s="5"/>
      <c r="X674" s="5"/>
      <c r="Y674" s="5"/>
      <c r="Z674" s="5"/>
      <c r="AA674" s="69"/>
      <c r="AB674" s="69"/>
      <c r="AC674" s="5"/>
      <c r="AD674" s="88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</row>
    <row r="675" spans="1:256" ht="23.1" customHeight="1" x14ac:dyDescent="0.25">
      <c r="A675" s="5"/>
      <c r="B675" s="288"/>
      <c r="C675" s="12"/>
      <c r="D675" s="12"/>
      <c r="E675" s="8"/>
      <c r="F675" s="8"/>
      <c r="G675" s="8"/>
      <c r="H675" s="8"/>
      <c r="I675" s="8"/>
      <c r="J675" s="72"/>
      <c r="K675" s="72"/>
      <c r="L675" s="72"/>
      <c r="M675" s="72"/>
      <c r="N675" s="8"/>
      <c r="O675" s="8"/>
      <c r="P675" s="8"/>
      <c r="Q675" s="8"/>
      <c r="R675" s="8"/>
      <c r="S675" s="8"/>
      <c r="T675" s="8"/>
      <c r="U675" s="5"/>
      <c r="V675" s="5"/>
      <c r="W675" s="5"/>
      <c r="X675" s="5"/>
      <c r="Y675" s="5"/>
      <c r="Z675" s="5"/>
      <c r="AA675" s="69"/>
      <c r="AB675" s="69"/>
      <c r="AC675" s="5"/>
      <c r="AD675" s="88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</row>
    <row r="676" spans="1:256" ht="23.1" customHeight="1" x14ac:dyDescent="0.25">
      <c r="A676" s="5"/>
      <c r="B676" s="288"/>
      <c r="C676" s="12"/>
      <c r="D676" s="12"/>
      <c r="E676" s="8"/>
      <c r="F676" s="8"/>
      <c r="G676" s="8"/>
      <c r="H676" s="8"/>
      <c r="I676" s="8"/>
      <c r="J676" s="72"/>
      <c r="K676" s="72"/>
      <c r="L676" s="72"/>
      <c r="M676" s="72"/>
      <c r="N676" s="8"/>
      <c r="O676" s="8"/>
      <c r="P676" s="8"/>
      <c r="Q676" s="8"/>
      <c r="R676" s="8"/>
      <c r="S676" s="8"/>
      <c r="T676" s="8"/>
      <c r="U676" s="5"/>
      <c r="V676" s="5"/>
      <c r="W676" s="5"/>
      <c r="X676" s="5"/>
      <c r="Y676" s="5"/>
      <c r="Z676" s="5"/>
      <c r="AA676" s="69"/>
      <c r="AB676" s="69"/>
      <c r="AC676" s="5"/>
      <c r="AD676" s="88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</row>
    <row r="677" spans="1:256" ht="23.1" customHeight="1" x14ac:dyDescent="0.25">
      <c r="A677" s="5"/>
      <c r="B677" s="288"/>
      <c r="C677" s="12"/>
      <c r="D677" s="12"/>
      <c r="E677" s="8"/>
      <c r="F677" s="8"/>
      <c r="G677" s="8"/>
      <c r="H677" s="8"/>
      <c r="I677" s="8"/>
      <c r="J677" s="72"/>
      <c r="K677" s="72"/>
      <c r="L677" s="72"/>
      <c r="M677" s="72"/>
      <c r="N677" s="8"/>
      <c r="O677" s="8"/>
      <c r="P677" s="8"/>
      <c r="Q677" s="8"/>
      <c r="R677" s="8"/>
      <c r="S677" s="8"/>
      <c r="T677" s="8"/>
      <c r="U677" s="5"/>
      <c r="V677" s="5"/>
      <c r="W677" s="5"/>
      <c r="X677" s="5"/>
      <c r="Y677" s="5"/>
      <c r="Z677" s="5"/>
      <c r="AA677" s="69"/>
      <c r="AB677" s="69"/>
      <c r="AC677" s="5"/>
      <c r="AD677" s="88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</row>
    <row r="678" spans="1:256" ht="23.1" customHeight="1" x14ac:dyDescent="0.25">
      <c r="A678" s="5"/>
      <c r="B678" s="288"/>
      <c r="C678" s="12"/>
      <c r="D678" s="12"/>
      <c r="E678" s="8"/>
      <c r="F678" s="8"/>
      <c r="G678" s="8"/>
      <c r="H678" s="8"/>
      <c r="I678" s="8"/>
      <c r="J678" s="72"/>
      <c r="K678" s="72"/>
      <c r="L678" s="72"/>
      <c r="M678" s="72"/>
      <c r="N678" s="8"/>
      <c r="O678" s="8"/>
      <c r="P678" s="8"/>
      <c r="Q678" s="8"/>
      <c r="R678" s="8"/>
      <c r="S678" s="8"/>
      <c r="T678" s="8"/>
      <c r="U678" s="5"/>
      <c r="V678" s="5"/>
      <c r="W678" s="5"/>
      <c r="X678" s="5"/>
      <c r="Y678" s="5"/>
      <c r="Z678" s="5"/>
      <c r="AA678" s="69"/>
      <c r="AB678" s="69"/>
      <c r="AC678" s="5"/>
      <c r="AD678" s="88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</row>
    <row r="679" spans="1:256" ht="23.1" customHeight="1" x14ac:dyDescent="0.25">
      <c r="A679" s="5"/>
      <c r="B679" s="288"/>
      <c r="C679" s="12"/>
      <c r="D679" s="12"/>
      <c r="E679" s="8"/>
      <c r="F679" s="8"/>
      <c r="G679" s="8"/>
      <c r="H679" s="8"/>
      <c r="I679" s="8"/>
      <c r="J679" s="72"/>
      <c r="K679" s="72"/>
      <c r="L679" s="72"/>
      <c r="M679" s="72"/>
      <c r="N679" s="8"/>
      <c r="O679" s="8"/>
      <c r="P679" s="8"/>
      <c r="Q679" s="8"/>
      <c r="R679" s="8"/>
      <c r="S679" s="8"/>
      <c r="T679" s="8"/>
      <c r="U679" s="5"/>
      <c r="V679" s="5"/>
      <c r="W679" s="5"/>
      <c r="X679" s="5"/>
      <c r="Y679" s="5"/>
      <c r="Z679" s="5"/>
      <c r="AA679" s="69"/>
      <c r="AB679" s="69"/>
      <c r="AC679" s="5"/>
      <c r="AD679" s="88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</row>
    <row r="680" spans="1:256" ht="23.1" customHeight="1" x14ac:dyDescent="0.25">
      <c r="A680" s="5"/>
      <c r="B680" s="288"/>
      <c r="C680" s="12"/>
      <c r="D680" s="12"/>
      <c r="E680" s="8"/>
      <c r="F680" s="8"/>
      <c r="G680" s="8"/>
      <c r="H680" s="8"/>
      <c r="I680" s="8"/>
      <c r="J680" s="72"/>
      <c r="K680" s="72"/>
      <c r="L680" s="72"/>
      <c r="M680" s="72"/>
      <c r="N680" s="8"/>
      <c r="O680" s="8"/>
      <c r="P680" s="8"/>
      <c r="Q680" s="8"/>
      <c r="R680" s="8"/>
      <c r="S680" s="8"/>
      <c r="T680" s="8"/>
      <c r="U680" s="5"/>
      <c r="V680" s="5"/>
      <c r="W680" s="5"/>
      <c r="X680" s="5"/>
      <c r="Y680" s="5"/>
      <c r="Z680" s="5"/>
      <c r="AA680" s="69"/>
      <c r="AB680" s="69"/>
      <c r="AC680" s="5"/>
      <c r="AD680" s="88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</row>
    <row r="681" spans="1:256" ht="23.1" customHeight="1" x14ac:dyDescent="0.25">
      <c r="A681" s="5"/>
      <c r="B681" s="288"/>
      <c r="C681" s="12"/>
      <c r="D681" s="12"/>
      <c r="E681" s="8"/>
      <c r="F681" s="8"/>
      <c r="G681" s="8"/>
      <c r="H681" s="8"/>
      <c r="I681" s="8"/>
      <c r="J681" s="72"/>
      <c r="K681" s="72"/>
      <c r="L681" s="72"/>
      <c r="M681" s="72"/>
      <c r="N681" s="8"/>
      <c r="O681" s="8"/>
      <c r="P681" s="8"/>
      <c r="Q681" s="8"/>
      <c r="R681" s="8"/>
      <c r="S681" s="8"/>
      <c r="T681" s="8"/>
      <c r="U681" s="5"/>
      <c r="V681" s="5"/>
      <c r="W681" s="5"/>
      <c r="X681" s="5"/>
      <c r="Y681" s="5"/>
      <c r="Z681" s="5"/>
      <c r="AA681" s="69"/>
      <c r="AB681" s="69"/>
      <c r="AC681" s="5"/>
      <c r="AD681" s="88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</row>
    <row r="682" spans="1:256" ht="23.1" customHeight="1" x14ac:dyDescent="0.25">
      <c r="A682" s="5"/>
      <c r="B682" s="288"/>
      <c r="C682" s="12"/>
      <c r="D682" s="12"/>
      <c r="E682" s="8"/>
      <c r="F682" s="8"/>
      <c r="G682" s="8"/>
      <c r="H682" s="8"/>
      <c r="I682" s="8"/>
      <c r="J682" s="72"/>
      <c r="K682" s="72"/>
      <c r="L682" s="72"/>
      <c r="M682" s="72"/>
      <c r="N682" s="8"/>
      <c r="O682" s="8"/>
      <c r="P682" s="8"/>
      <c r="Q682" s="8"/>
      <c r="R682" s="8"/>
      <c r="S682" s="8"/>
      <c r="T682" s="8"/>
      <c r="U682" s="5"/>
      <c r="V682" s="5"/>
      <c r="W682" s="5"/>
      <c r="X682" s="5"/>
      <c r="Y682" s="5"/>
      <c r="Z682" s="5"/>
      <c r="AA682" s="69"/>
      <c r="AB682" s="69"/>
      <c r="AC682" s="5"/>
      <c r="AD682" s="88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</row>
    <row r="683" spans="1:256" ht="23.1" customHeight="1" x14ac:dyDescent="0.25">
      <c r="A683" s="5"/>
      <c r="B683" s="288"/>
      <c r="C683" s="12"/>
      <c r="D683" s="12"/>
      <c r="E683" s="8"/>
      <c r="F683" s="8"/>
      <c r="G683" s="8"/>
      <c r="H683" s="8"/>
      <c r="I683" s="8"/>
      <c r="J683" s="72"/>
      <c r="K683" s="72"/>
      <c r="L683" s="72"/>
      <c r="M683" s="72"/>
      <c r="N683" s="8"/>
      <c r="O683" s="8"/>
      <c r="P683" s="8"/>
      <c r="Q683" s="8"/>
      <c r="R683" s="8"/>
      <c r="S683" s="8"/>
      <c r="T683" s="8"/>
      <c r="U683" s="5"/>
      <c r="V683" s="5"/>
      <c r="W683" s="5"/>
      <c r="X683" s="5"/>
      <c r="Y683" s="5"/>
      <c r="Z683" s="5"/>
      <c r="AA683" s="69"/>
      <c r="AB683" s="69"/>
      <c r="AC683" s="5"/>
      <c r="AD683" s="88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</row>
    <row r="684" spans="1:256" ht="23.1" customHeight="1" x14ac:dyDescent="0.25">
      <c r="A684" s="5"/>
      <c r="B684" s="288"/>
      <c r="C684" s="12"/>
      <c r="D684" s="12"/>
      <c r="E684" s="8"/>
      <c r="F684" s="8"/>
      <c r="G684" s="8"/>
      <c r="H684" s="8"/>
      <c r="I684" s="8"/>
      <c r="J684" s="72"/>
      <c r="K684" s="72"/>
      <c r="L684" s="72"/>
      <c r="M684" s="72"/>
      <c r="N684" s="8"/>
      <c r="O684" s="8"/>
      <c r="P684" s="8"/>
      <c r="Q684" s="8"/>
      <c r="R684" s="8"/>
      <c r="S684" s="8"/>
      <c r="T684" s="8"/>
      <c r="U684" s="5"/>
      <c r="V684" s="5"/>
      <c r="W684" s="5"/>
      <c r="X684" s="5"/>
      <c r="Y684" s="5"/>
      <c r="Z684" s="5"/>
      <c r="AA684" s="69"/>
      <c r="AB684" s="69"/>
      <c r="AC684" s="5"/>
      <c r="AD684" s="88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</row>
    <row r="685" spans="1:256" ht="23.1" customHeight="1" x14ac:dyDescent="0.25">
      <c r="A685" s="5"/>
      <c r="B685" s="288"/>
      <c r="C685" s="12"/>
      <c r="D685" s="12"/>
      <c r="E685" s="8"/>
      <c r="F685" s="8"/>
      <c r="G685" s="8"/>
      <c r="H685" s="8"/>
      <c r="I685" s="8"/>
      <c r="J685" s="72"/>
      <c r="K685" s="72"/>
      <c r="L685" s="72"/>
      <c r="M685" s="72"/>
      <c r="N685" s="8"/>
      <c r="O685" s="8"/>
      <c r="P685" s="8"/>
      <c r="Q685" s="8"/>
      <c r="R685" s="8"/>
      <c r="S685" s="8"/>
      <c r="T685" s="8"/>
      <c r="U685" s="5"/>
      <c r="V685" s="5"/>
      <c r="W685" s="5"/>
      <c r="X685" s="5"/>
      <c r="Y685" s="5"/>
      <c r="Z685" s="5"/>
      <c r="AA685" s="69"/>
      <c r="AB685" s="69"/>
      <c r="AC685" s="5"/>
      <c r="AD685" s="88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</row>
    <row r="686" spans="1:256" ht="23.1" customHeight="1" x14ac:dyDescent="0.25">
      <c r="A686" s="5"/>
      <c r="B686" s="288"/>
      <c r="C686" s="12"/>
      <c r="D686" s="12"/>
      <c r="E686" s="8"/>
      <c r="F686" s="8"/>
      <c r="G686" s="8"/>
      <c r="H686" s="8"/>
      <c r="I686" s="8"/>
      <c r="J686" s="72"/>
      <c r="K686" s="72"/>
      <c r="L686" s="72"/>
      <c r="M686" s="72"/>
      <c r="N686" s="8"/>
      <c r="O686" s="8"/>
      <c r="P686" s="8"/>
      <c r="Q686" s="8"/>
      <c r="R686" s="8"/>
      <c r="S686" s="8"/>
      <c r="T686" s="8"/>
      <c r="U686" s="5"/>
      <c r="V686" s="5"/>
      <c r="W686" s="5"/>
      <c r="X686" s="5"/>
      <c r="Y686" s="5"/>
      <c r="Z686" s="5"/>
      <c r="AA686" s="69"/>
      <c r="AB686" s="69"/>
      <c r="AC686" s="5"/>
      <c r="AD686" s="88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</row>
    <row r="687" spans="1:256" ht="23.1" customHeight="1" x14ac:dyDescent="0.25">
      <c r="A687" s="5"/>
      <c r="B687" s="288"/>
      <c r="C687" s="12"/>
      <c r="D687" s="12"/>
      <c r="E687" s="8"/>
      <c r="F687" s="8"/>
      <c r="G687" s="8"/>
      <c r="H687" s="8"/>
      <c r="I687" s="8"/>
      <c r="J687" s="72"/>
      <c r="K687" s="72"/>
      <c r="L687" s="72"/>
      <c r="M687" s="72"/>
      <c r="N687" s="8"/>
      <c r="O687" s="8"/>
      <c r="P687" s="8"/>
      <c r="Q687" s="8"/>
      <c r="R687" s="8"/>
      <c r="S687" s="8"/>
      <c r="T687" s="8"/>
      <c r="U687" s="5"/>
      <c r="V687" s="5"/>
      <c r="W687" s="5"/>
      <c r="X687" s="5"/>
      <c r="Y687" s="5"/>
      <c r="Z687" s="5"/>
      <c r="AA687" s="69"/>
      <c r="AB687" s="69"/>
      <c r="AC687" s="5"/>
      <c r="AD687" s="88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</row>
    <row r="688" spans="1:256" ht="23.1" customHeight="1" x14ac:dyDescent="0.25">
      <c r="A688" s="5"/>
      <c r="B688" s="288"/>
      <c r="C688" s="12"/>
      <c r="D688" s="12"/>
      <c r="E688" s="8"/>
      <c r="F688" s="8"/>
      <c r="G688" s="8"/>
      <c r="H688" s="8"/>
      <c r="I688" s="8"/>
      <c r="J688" s="72"/>
      <c r="K688" s="72"/>
      <c r="L688" s="72"/>
      <c r="M688" s="72"/>
      <c r="N688" s="8"/>
      <c r="O688" s="8"/>
      <c r="P688" s="8"/>
      <c r="Q688" s="8"/>
      <c r="R688" s="8"/>
      <c r="S688" s="8"/>
      <c r="T688" s="8"/>
      <c r="U688" s="5"/>
      <c r="V688" s="5"/>
      <c r="W688" s="5"/>
      <c r="X688" s="5"/>
      <c r="Y688" s="5"/>
      <c r="Z688" s="5"/>
      <c r="AA688" s="69"/>
      <c r="AB688" s="69"/>
      <c r="AC688" s="5"/>
      <c r="AD688" s="88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</row>
    <row r="689" spans="1:256" ht="23.1" customHeight="1" x14ac:dyDescent="0.25">
      <c r="A689" s="5"/>
      <c r="B689" s="288"/>
      <c r="C689" s="12"/>
      <c r="D689" s="12"/>
      <c r="E689" s="8"/>
      <c r="F689" s="8"/>
      <c r="G689" s="8"/>
      <c r="H689" s="8"/>
      <c r="I689" s="8"/>
      <c r="J689" s="72"/>
      <c r="K689" s="72"/>
      <c r="L689" s="72"/>
      <c r="M689" s="72"/>
      <c r="N689" s="8"/>
      <c r="O689" s="8"/>
      <c r="P689" s="8"/>
      <c r="Q689" s="8"/>
      <c r="R689" s="8"/>
      <c r="S689" s="8"/>
      <c r="T689" s="8"/>
      <c r="U689" s="5"/>
      <c r="V689" s="5"/>
      <c r="W689" s="5"/>
      <c r="X689" s="5"/>
      <c r="Y689" s="5"/>
      <c r="Z689" s="5"/>
      <c r="AA689" s="69"/>
      <c r="AB689" s="69"/>
      <c r="AC689" s="5"/>
      <c r="AD689" s="88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</row>
    <row r="690" spans="1:256" ht="23.1" customHeight="1" x14ac:dyDescent="0.25">
      <c r="A690" s="5"/>
      <c r="B690" s="288"/>
      <c r="C690" s="12"/>
      <c r="D690" s="12"/>
      <c r="E690" s="8"/>
      <c r="F690" s="8"/>
      <c r="G690" s="8"/>
      <c r="H690" s="8"/>
      <c r="I690" s="8"/>
      <c r="J690" s="72"/>
      <c r="K690" s="72"/>
      <c r="L690" s="72"/>
      <c r="M690" s="72"/>
      <c r="N690" s="8"/>
      <c r="O690" s="8"/>
      <c r="P690" s="8"/>
      <c r="Q690" s="8"/>
      <c r="R690" s="8"/>
      <c r="S690" s="8"/>
      <c r="T690" s="8"/>
      <c r="U690" s="5"/>
      <c r="V690" s="5"/>
      <c r="W690" s="5"/>
      <c r="X690" s="5"/>
      <c r="Y690" s="5"/>
      <c r="Z690" s="5"/>
      <c r="AA690" s="69"/>
      <c r="AB690" s="69"/>
      <c r="AC690" s="5"/>
      <c r="AD690" s="88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</row>
    <row r="691" spans="1:256" ht="23.1" customHeight="1" x14ac:dyDescent="0.25">
      <c r="A691" s="5"/>
      <c r="B691" s="288"/>
      <c r="C691" s="12"/>
      <c r="D691" s="12"/>
      <c r="E691" s="8"/>
      <c r="F691" s="8"/>
      <c r="G691" s="8"/>
      <c r="H691" s="8"/>
      <c r="I691" s="8"/>
      <c r="J691" s="72"/>
      <c r="K691" s="72"/>
      <c r="L691" s="72"/>
      <c r="M691" s="72"/>
      <c r="N691" s="8"/>
      <c r="O691" s="8"/>
      <c r="P691" s="8"/>
      <c r="Q691" s="8"/>
      <c r="R691" s="8"/>
      <c r="S691" s="8"/>
      <c r="T691" s="8"/>
      <c r="U691" s="5"/>
      <c r="V691" s="5"/>
      <c r="W691" s="5"/>
      <c r="X691" s="5"/>
      <c r="Y691" s="5"/>
      <c r="Z691" s="5"/>
      <c r="AA691" s="69"/>
      <c r="AB691" s="69"/>
      <c r="AC691" s="5"/>
      <c r="AD691" s="88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</row>
    <row r="692" spans="1:256" ht="23.1" customHeight="1" x14ac:dyDescent="0.25">
      <c r="A692" s="5"/>
      <c r="B692" s="288"/>
      <c r="C692" s="12"/>
      <c r="D692" s="12"/>
      <c r="E692" s="8"/>
      <c r="F692" s="8"/>
      <c r="G692" s="8"/>
      <c r="H692" s="8"/>
      <c r="I692" s="8"/>
      <c r="J692" s="72"/>
      <c r="K692" s="72"/>
      <c r="L692" s="72"/>
      <c r="M692" s="72"/>
      <c r="N692" s="8"/>
      <c r="O692" s="8"/>
      <c r="P692" s="8"/>
      <c r="Q692" s="8"/>
      <c r="R692" s="8"/>
      <c r="S692" s="8"/>
      <c r="T692" s="8"/>
      <c r="U692" s="5"/>
      <c r="V692" s="5"/>
      <c r="W692" s="5"/>
      <c r="X692" s="5"/>
      <c r="Y692" s="5"/>
      <c r="Z692" s="5"/>
      <c r="AA692" s="69"/>
      <c r="AB692" s="69"/>
      <c r="AC692" s="5"/>
      <c r="AD692" s="88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</row>
    <row r="693" spans="1:256" ht="23.1" customHeight="1" x14ac:dyDescent="0.25">
      <c r="A693" s="5"/>
      <c r="B693" s="288"/>
      <c r="C693" s="12"/>
      <c r="D693" s="12"/>
      <c r="E693" s="8"/>
      <c r="F693" s="8"/>
      <c r="G693" s="8"/>
      <c r="H693" s="8"/>
      <c r="I693" s="8"/>
      <c r="J693" s="72"/>
      <c r="K693" s="72"/>
      <c r="L693" s="72"/>
      <c r="M693" s="72"/>
      <c r="N693" s="8"/>
      <c r="O693" s="8"/>
      <c r="P693" s="8"/>
      <c r="Q693" s="8"/>
      <c r="R693" s="8"/>
      <c r="S693" s="8"/>
      <c r="T693" s="8"/>
      <c r="U693" s="5"/>
      <c r="V693" s="5"/>
      <c r="W693" s="5"/>
      <c r="X693" s="5"/>
      <c r="Y693" s="5"/>
      <c r="Z693" s="5"/>
      <c r="AA693" s="69"/>
      <c r="AB693" s="69"/>
      <c r="AC693" s="5"/>
      <c r="AD693" s="88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</row>
    <row r="694" spans="1:256" ht="23.1" customHeight="1" x14ac:dyDescent="0.25">
      <c r="A694" s="5"/>
      <c r="B694" s="288"/>
      <c r="C694" s="12"/>
      <c r="D694" s="12"/>
      <c r="E694" s="8"/>
      <c r="F694" s="8"/>
      <c r="G694" s="8"/>
      <c r="H694" s="8"/>
      <c r="I694" s="8"/>
      <c r="J694" s="72"/>
      <c r="K694" s="72"/>
      <c r="L694" s="72"/>
      <c r="M694" s="72"/>
      <c r="N694" s="8"/>
      <c r="O694" s="8"/>
      <c r="P694" s="8"/>
      <c r="Q694" s="8"/>
      <c r="R694" s="8"/>
      <c r="S694" s="8"/>
      <c r="T694" s="8"/>
      <c r="U694" s="5"/>
      <c r="V694" s="5"/>
      <c r="W694" s="5"/>
      <c r="X694" s="5"/>
      <c r="Y694" s="5"/>
      <c r="Z694" s="5"/>
      <c r="AA694" s="69"/>
      <c r="AB694" s="69"/>
      <c r="AC694" s="5"/>
      <c r="AD694" s="88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</row>
    <row r="695" spans="1:256" ht="23.1" customHeight="1" x14ac:dyDescent="0.25">
      <c r="A695" s="5"/>
      <c r="B695" s="288"/>
      <c r="C695" s="12"/>
      <c r="D695" s="12"/>
      <c r="E695" s="8"/>
      <c r="F695" s="8"/>
      <c r="G695" s="8"/>
      <c r="H695" s="8"/>
      <c r="I695" s="8"/>
      <c r="J695" s="72"/>
      <c r="K695" s="72"/>
      <c r="L695" s="72"/>
      <c r="M695" s="72"/>
      <c r="N695" s="8"/>
      <c r="O695" s="8"/>
      <c r="P695" s="8"/>
      <c r="Q695" s="8"/>
      <c r="R695" s="8"/>
      <c r="S695" s="8"/>
      <c r="T695" s="8"/>
      <c r="U695" s="5"/>
      <c r="V695" s="5"/>
      <c r="W695" s="5"/>
      <c r="X695" s="5"/>
      <c r="Y695" s="5"/>
      <c r="Z695" s="5"/>
      <c r="AA695" s="69"/>
      <c r="AB695" s="69"/>
      <c r="AC695" s="5"/>
      <c r="AD695" s="88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</row>
    <row r="696" spans="1:256" ht="23.1" customHeight="1" x14ac:dyDescent="0.25">
      <c r="A696" s="5"/>
      <c r="B696" s="288"/>
      <c r="C696" s="12"/>
      <c r="D696" s="12"/>
      <c r="E696" s="8"/>
      <c r="F696" s="8"/>
      <c r="G696" s="8"/>
      <c r="H696" s="8"/>
      <c r="I696" s="8"/>
      <c r="J696" s="72"/>
      <c r="K696" s="72"/>
      <c r="L696" s="72"/>
      <c r="M696" s="72"/>
      <c r="N696" s="8"/>
      <c r="O696" s="8"/>
      <c r="P696" s="8"/>
      <c r="Q696" s="8"/>
      <c r="R696" s="8"/>
      <c r="S696" s="8"/>
      <c r="T696" s="8"/>
      <c r="U696" s="5"/>
      <c r="V696" s="5"/>
      <c r="W696" s="5"/>
      <c r="X696" s="5"/>
      <c r="Y696" s="5"/>
      <c r="Z696" s="5"/>
      <c r="AA696" s="69"/>
      <c r="AB696" s="69"/>
      <c r="AC696" s="5"/>
      <c r="AD696" s="88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</row>
    <row r="697" spans="1:256" ht="23.1" customHeight="1" x14ac:dyDescent="0.25">
      <c r="A697" s="5"/>
      <c r="B697" s="288"/>
      <c r="C697" s="12"/>
      <c r="D697" s="12"/>
      <c r="E697" s="8"/>
      <c r="F697" s="8"/>
      <c r="G697" s="8"/>
      <c r="H697" s="8"/>
      <c r="I697" s="8"/>
      <c r="J697" s="72"/>
      <c r="K697" s="72"/>
      <c r="L697" s="72"/>
      <c r="M697" s="72"/>
      <c r="N697" s="8"/>
      <c r="O697" s="8"/>
      <c r="P697" s="8"/>
      <c r="Q697" s="8"/>
      <c r="R697" s="8"/>
      <c r="S697" s="8"/>
      <c r="T697" s="8"/>
      <c r="U697" s="5"/>
      <c r="V697" s="5"/>
      <c r="W697" s="5"/>
      <c r="X697" s="5"/>
      <c r="Y697" s="5"/>
      <c r="Z697" s="5"/>
      <c r="AA697" s="69"/>
      <c r="AB697" s="69"/>
      <c r="AC697" s="5"/>
      <c r="AD697" s="88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</row>
    <row r="698" spans="1:256" ht="23.1" customHeight="1" x14ac:dyDescent="0.25">
      <c r="A698" s="5"/>
      <c r="B698" s="288"/>
      <c r="C698" s="12"/>
      <c r="D698" s="12"/>
      <c r="E698" s="8"/>
      <c r="F698" s="8"/>
      <c r="G698" s="8"/>
      <c r="H698" s="8"/>
      <c r="I698" s="8"/>
      <c r="J698" s="72"/>
      <c r="K698" s="72"/>
      <c r="L698" s="72"/>
      <c r="M698" s="72"/>
      <c r="N698" s="8"/>
      <c r="O698" s="8"/>
      <c r="P698" s="8"/>
      <c r="Q698" s="8"/>
      <c r="R698" s="8"/>
      <c r="S698" s="8"/>
      <c r="T698" s="8"/>
      <c r="U698" s="5"/>
      <c r="V698" s="5"/>
      <c r="W698" s="5"/>
      <c r="X698" s="5"/>
      <c r="Y698" s="5"/>
      <c r="Z698" s="5"/>
      <c r="AA698" s="69"/>
      <c r="AB698" s="69"/>
      <c r="AC698" s="5"/>
      <c r="AD698" s="88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</row>
    <row r="699" spans="1:256" ht="23.1" customHeight="1" x14ac:dyDescent="0.25">
      <c r="A699" s="5"/>
      <c r="B699" s="288"/>
      <c r="C699" s="12"/>
      <c r="D699" s="12"/>
      <c r="E699" s="8"/>
      <c r="F699" s="8"/>
      <c r="G699" s="8"/>
      <c r="H699" s="8"/>
      <c r="I699" s="8"/>
      <c r="J699" s="72"/>
      <c r="K699" s="72"/>
      <c r="L699" s="72"/>
      <c r="M699" s="72"/>
      <c r="N699" s="8"/>
      <c r="O699" s="8"/>
      <c r="P699" s="8"/>
      <c r="Q699" s="8"/>
      <c r="R699" s="8"/>
      <c r="S699" s="8"/>
      <c r="T699" s="8"/>
      <c r="U699" s="5"/>
      <c r="V699" s="5"/>
      <c r="W699" s="5"/>
      <c r="X699" s="5"/>
      <c r="Y699" s="5"/>
      <c r="Z699" s="5"/>
      <c r="AA699" s="69"/>
      <c r="AB699" s="69"/>
      <c r="AC699" s="5"/>
      <c r="AD699" s="88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</row>
    <row r="700" spans="1:256" ht="23.1" customHeight="1" x14ac:dyDescent="0.25">
      <c r="A700" s="5"/>
      <c r="B700" s="288"/>
      <c r="C700" s="12"/>
      <c r="D700" s="12"/>
      <c r="E700" s="8"/>
      <c r="F700" s="8"/>
      <c r="G700" s="8"/>
      <c r="H700" s="8"/>
      <c r="I700" s="8"/>
      <c r="J700" s="72"/>
      <c r="K700" s="72"/>
      <c r="L700" s="72"/>
      <c r="M700" s="72"/>
      <c r="N700" s="8"/>
      <c r="O700" s="8"/>
      <c r="P700" s="8"/>
      <c r="Q700" s="8"/>
      <c r="R700" s="8"/>
      <c r="S700" s="8"/>
      <c r="T700" s="8"/>
      <c r="U700" s="5"/>
      <c r="V700" s="5"/>
      <c r="W700" s="5"/>
      <c r="X700" s="5"/>
      <c r="Y700" s="5"/>
      <c r="Z700" s="5"/>
      <c r="AA700" s="69"/>
      <c r="AB700" s="69"/>
      <c r="AC700" s="5"/>
      <c r="AD700" s="88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</row>
    <row r="701" spans="1:256" ht="23.1" customHeight="1" x14ac:dyDescent="0.25">
      <c r="A701" s="5"/>
      <c r="B701" s="288"/>
      <c r="C701" s="12"/>
      <c r="D701" s="12"/>
      <c r="E701" s="8"/>
      <c r="F701" s="8"/>
      <c r="G701" s="8"/>
      <c r="H701" s="8"/>
      <c r="I701" s="8"/>
      <c r="J701" s="72"/>
      <c r="K701" s="72"/>
      <c r="L701" s="72"/>
      <c r="M701" s="72"/>
      <c r="N701" s="8"/>
      <c r="O701" s="8"/>
      <c r="P701" s="8"/>
      <c r="Q701" s="8"/>
      <c r="R701" s="8"/>
      <c r="S701" s="8"/>
      <c r="T701" s="8"/>
      <c r="U701" s="5"/>
      <c r="V701" s="5"/>
      <c r="W701" s="5"/>
      <c r="X701" s="5"/>
      <c r="Y701" s="5"/>
      <c r="Z701" s="5"/>
      <c r="AA701" s="69"/>
      <c r="AB701" s="69"/>
      <c r="AC701" s="5"/>
      <c r="AD701" s="88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</row>
    <row r="702" spans="1:256" ht="23.1" customHeight="1" x14ac:dyDescent="0.25">
      <c r="A702" s="5"/>
      <c r="B702" s="288"/>
      <c r="C702" s="12"/>
      <c r="D702" s="12"/>
      <c r="E702" s="8"/>
      <c r="F702" s="8"/>
      <c r="G702" s="8"/>
      <c r="H702" s="8"/>
      <c r="I702" s="8"/>
      <c r="J702" s="72"/>
      <c r="K702" s="72"/>
      <c r="L702" s="72"/>
      <c r="M702" s="72"/>
      <c r="N702" s="8"/>
      <c r="O702" s="8"/>
      <c r="P702" s="8"/>
      <c r="Q702" s="8"/>
      <c r="R702" s="8"/>
      <c r="S702" s="8"/>
      <c r="T702" s="8"/>
      <c r="U702" s="5"/>
      <c r="V702" s="5"/>
      <c r="W702" s="5"/>
      <c r="X702" s="5"/>
      <c r="Y702" s="5"/>
      <c r="Z702" s="5"/>
      <c r="AA702" s="69"/>
      <c r="AB702" s="69"/>
      <c r="AC702" s="5"/>
      <c r="AD702" s="88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</row>
    <row r="703" spans="1:256" ht="23.1" customHeight="1" x14ac:dyDescent="0.25">
      <c r="A703" s="5"/>
      <c r="B703" s="288"/>
      <c r="C703" s="12"/>
      <c r="D703" s="12"/>
      <c r="E703" s="8"/>
      <c r="F703" s="8"/>
      <c r="G703" s="8"/>
      <c r="H703" s="8"/>
      <c r="I703" s="8"/>
      <c r="J703" s="72"/>
      <c r="K703" s="72"/>
      <c r="L703" s="72"/>
      <c r="M703" s="72"/>
      <c r="N703" s="8"/>
      <c r="O703" s="8"/>
      <c r="P703" s="8"/>
      <c r="Q703" s="8"/>
      <c r="R703" s="8"/>
      <c r="S703" s="8"/>
      <c r="T703" s="8"/>
      <c r="U703" s="5"/>
      <c r="V703" s="5"/>
      <c r="W703" s="5"/>
      <c r="X703" s="5"/>
      <c r="Y703" s="5"/>
      <c r="Z703" s="5"/>
      <c r="AA703" s="69"/>
      <c r="AB703" s="69"/>
      <c r="AC703" s="5"/>
      <c r="AD703" s="88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</row>
    <row r="704" spans="1:256" ht="23.1" customHeight="1" x14ac:dyDescent="0.25">
      <c r="A704" s="5"/>
      <c r="B704" s="288"/>
      <c r="C704" s="12"/>
      <c r="D704" s="12"/>
      <c r="E704" s="8"/>
      <c r="F704" s="8"/>
      <c r="G704" s="8"/>
      <c r="H704" s="8"/>
      <c r="I704" s="8"/>
      <c r="J704" s="72"/>
      <c r="K704" s="72"/>
      <c r="L704" s="72"/>
      <c r="M704" s="72"/>
      <c r="N704" s="8"/>
      <c r="O704" s="8"/>
      <c r="P704" s="8"/>
      <c r="Q704" s="8"/>
      <c r="R704" s="8"/>
      <c r="S704" s="8"/>
      <c r="T704" s="8"/>
      <c r="U704" s="5"/>
      <c r="V704" s="5"/>
      <c r="W704" s="5"/>
      <c r="X704" s="5"/>
      <c r="Y704" s="5"/>
      <c r="Z704" s="5"/>
      <c r="AA704" s="69"/>
      <c r="AB704" s="69"/>
      <c r="AC704" s="5"/>
      <c r="AD704" s="88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</row>
    <row r="705" spans="1:256" ht="23.1" customHeight="1" x14ac:dyDescent="0.25">
      <c r="A705" s="5"/>
      <c r="B705" s="288"/>
      <c r="C705" s="12"/>
      <c r="D705" s="12"/>
      <c r="E705" s="8"/>
      <c r="F705" s="8"/>
      <c r="G705" s="8"/>
      <c r="H705" s="8"/>
      <c r="I705" s="8"/>
      <c r="J705" s="72"/>
      <c r="K705" s="72"/>
      <c r="L705" s="72"/>
      <c r="M705" s="72"/>
      <c r="N705" s="8"/>
      <c r="O705" s="8"/>
      <c r="P705" s="8"/>
      <c r="Q705" s="8"/>
      <c r="R705" s="8"/>
      <c r="S705" s="8"/>
      <c r="T705" s="8"/>
      <c r="U705" s="5"/>
      <c r="V705" s="5"/>
      <c r="W705" s="5"/>
      <c r="X705" s="5"/>
      <c r="Y705" s="5"/>
      <c r="Z705" s="5"/>
      <c r="AA705" s="69"/>
      <c r="AB705" s="69"/>
      <c r="AC705" s="5"/>
      <c r="AD705" s="88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</row>
    <row r="706" spans="1:256" ht="23.1" customHeight="1" x14ac:dyDescent="0.25">
      <c r="A706" s="5"/>
      <c r="B706" s="288"/>
      <c r="C706" s="12"/>
      <c r="D706" s="12"/>
      <c r="E706" s="8"/>
      <c r="F706" s="8"/>
      <c r="G706" s="8"/>
      <c r="H706" s="8"/>
      <c r="I706" s="8"/>
      <c r="J706" s="72"/>
      <c r="K706" s="72"/>
      <c r="L706" s="72"/>
      <c r="M706" s="72"/>
      <c r="N706" s="8"/>
      <c r="O706" s="8"/>
      <c r="P706" s="8"/>
      <c r="Q706" s="8"/>
      <c r="R706" s="8"/>
      <c r="S706" s="8"/>
      <c r="T706" s="8"/>
      <c r="U706" s="5"/>
      <c r="V706" s="5"/>
      <c r="W706" s="5"/>
      <c r="X706" s="5"/>
      <c r="Y706" s="5"/>
      <c r="Z706" s="5"/>
      <c r="AA706" s="69"/>
      <c r="AB706" s="69"/>
      <c r="AC706" s="5"/>
      <c r="AD706" s="88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</row>
    <row r="707" spans="1:256" ht="23.1" customHeight="1" x14ac:dyDescent="0.25">
      <c r="A707" s="5"/>
      <c r="B707" s="288"/>
      <c r="C707" s="12"/>
      <c r="D707" s="12"/>
      <c r="E707" s="8"/>
      <c r="F707" s="8"/>
      <c r="G707" s="8"/>
      <c r="H707" s="8"/>
      <c r="I707" s="8"/>
      <c r="J707" s="72"/>
      <c r="K707" s="72"/>
      <c r="L707" s="72"/>
      <c r="M707" s="72"/>
      <c r="N707" s="8"/>
      <c r="O707" s="8"/>
      <c r="P707" s="8"/>
      <c r="Q707" s="8"/>
      <c r="R707" s="8"/>
      <c r="S707" s="8"/>
      <c r="T707" s="8"/>
      <c r="U707" s="5"/>
      <c r="V707" s="5"/>
      <c r="W707" s="5"/>
      <c r="X707" s="5"/>
      <c r="Y707" s="5"/>
      <c r="Z707" s="5"/>
      <c r="AA707" s="69"/>
      <c r="AB707" s="69"/>
      <c r="AC707" s="5"/>
      <c r="AD707" s="88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</row>
    <row r="708" spans="1:256" ht="23.1" customHeight="1" x14ac:dyDescent="0.25">
      <c r="A708" s="5"/>
      <c r="B708" s="288"/>
      <c r="C708" s="12"/>
      <c r="D708" s="12"/>
      <c r="E708" s="8"/>
      <c r="F708" s="8"/>
      <c r="G708" s="8"/>
      <c r="H708" s="8"/>
      <c r="I708" s="8"/>
      <c r="J708" s="72"/>
      <c r="K708" s="72"/>
      <c r="L708" s="72"/>
      <c r="M708" s="72"/>
      <c r="N708" s="8"/>
      <c r="O708" s="8"/>
      <c r="P708" s="8"/>
      <c r="Q708" s="8"/>
      <c r="R708" s="8"/>
      <c r="S708" s="8"/>
      <c r="T708" s="8"/>
      <c r="U708" s="5"/>
      <c r="V708" s="5"/>
      <c r="W708" s="5"/>
      <c r="X708" s="5"/>
      <c r="Y708" s="5"/>
      <c r="Z708" s="5"/>
      <c r="AA708" s="69"/>
      <c r="AB708" s="69"/>
      <c r="AC708" s="5"/>
      <c r="AD708" s="88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</row>
    <row r="709" spans="1:256" ht="23.1" customHeight="1" x14ac:dyDescent="0.25">
      <c r="A709" s="5"/>
      <c r="B709" s="288"/>
      <c r="C709" s="12"/>
      <c r="D709" s="12"/>
      <c r="E709" s="8"/>
      <c r="F709" s="8"/>
      <c r="G709" s="8"/>
      <c r="H709" s="8"/>
      <c r="I709" s="8"/>
      <c r="J709" s="72"/>
      <c r="K709" s="72"/>
      <c r="L709" s="72"/>
      <c r="M709" s="72"/>
      <c r="N709" s="8"/>
      <c r="O709" s="8"/>
      <c r="P709" s="8"/>
      <c r="Q709" s="8"/>
      <c r="R709" s="8"/>
      <c r="S709" s="8"/>
      <c r="T709" s="8"/>
      <c r="U709" s="5"/>
      <c r="V709" s="5"/>
      <c r="W709" s="5"/>
      <c r="X709" s="5"/>
      <c r="Y709" s="5"/>
      <c r="Z709" s="5"/>
      <c r="AA709" s="69"/>
      <c r="AB709" s="69"/>
      <c r="AC709" s="5"/>
      <c r="AD709" s="88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</row>
    <row r="710" spans="1:256" ht="23.1" customHeight="1" x14ac:dyDescent="0.25">
      <c r="A710" s="5"/>
      <c r="B710" s="288"/>
      <c r="C710" s="12"/>
      <c r="D710" s="12"/>
      <c r="E710" s="8"/>
      <c r="F710" s="8"/>
      <c r="G710" s="8"/>
      <c r="H710" s="8"/>
      <c r="I710" s="8"/>
      <c r="J710" s="72"/>
      <c r="K710" s="72"/>
      <c r="L710" s="72"/>
      <c r="M710" s="72"/>
      <c r="N710" s="8"/>
      <c r="O710" s="8"/>
      <c r="P710" s="8"/>
      <c r="Q710" s="8"/>
      <c r="R710" s="8"/>
      <c r="S710" s="8"/>
      <c r="T710" s="8"/>
      <c r="U710" s="5"/>
      <c r="V710" s="5"/>
      <c r="W710" s="5"/>
      <c r="X710" s="5"/>
      <c r="Y710" s="5"/>
      <c r="Z710" s="5"/>
      <c r="AA710" s="69"/>
      <c r="AB710" s="69"/>
      <c r="AC710" s="5"/>
      <c r="AD710" s="88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</row>
    <row r="711" spans="1:256" ht="23.1" customHeight="1" x14ac:dyDescent="0.25">
      <c r="A711" s="5"/>
      <c r="B711" s="288"/>
      <c r="C711" s="12"/>
      <c r="D711" s="12"/>
      <c r="E711" s="8"/>
      <c r="F711" s="8"/>
      <c r="G711" s="8"/>
      <c r="H711" s="8"/>
      <c r="I711" s="8"/>
      <c r="J711" s="72"/>
      <c r="K711" s="72"/>
      <c r="L711" s="72"/>
      <c r="M711" s="72"/>
      <c r="N711" s="8"/>
      <c r="O711" s="8"/>
      <c r="P711" s="8"/>
      <c r="Q711" s="8"/>
      <c r="R711" s="8"/>
      <c r="S711" s="8"/>
      <c r="T711" s="8"/>
      <c r="U711" s="5"/>
      <c r="V711" s="5"/>
      <c r="W711" s="5"/>
      <c r="X711" s="5"/>
      <c r="Y711" s="5"/>
      <c r="Z711" s="5"/>
      <c r="AA711" s="69"/>
      <c r="AB711" s="69"/>
      <c r="AC711" s="5"/>
      <c r="AD711" s="88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</row>
    <row r="712" spans="1:256" ht="23.1" customHeight="1" x14ac:dyDescent="0.25">
      <c r="A712" s="5"/>
      <c r="B712" s="288"/>
      <c r="C712" s="12"/>
      <c r="D712" s="12"/>
      <c r="E712" s="8"/>
      <c r="F712" s="8"/>
      <c r="G712" s="8"/>
      <c r="H712" s="8"/>
      <c r="I712" s="8"/>
      <c r="J712" s="72"/>
      <c r="K712" s="72"/>
      <c r="L712" s="72"/>
      <c r="M712" s="72"/>
      <c r="N712" s="8"/>
      <c r="O712" s="8"/>
      <c r="P712" s="8"/>
      <c r="Q712" s="8"/>
      <c r="R712" s="8"/>
      <c r="S712" s="8"/>
      <c r="T712" s="8"/>
      <c r="U712" s="5"/>
      <c r="V712" s="5"/>
      <c r="W712" s="5"/>
      <c r="X712" s="5"/>
      <c r="Y712" s="5"/>
      <c r="Z712" s="5"/>
      <c r="AA712" s="69"/>
      <c r="AB712" s="69"/>
      <c r="AC712" s="5"/>
      <c r="AD712" s="88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</row>
    <row r="713" spans="1:256" ht="23.1" customHeight="1" x14ac:dyDescent="0.25">
      <c r="A713" s="5"/>
      <c r="B713" s="288"/>
      <c r="C713" s="12"/>
      <c r="D713" s="12"/>
      <c r="E713" s="8"/>
      <c r="F713" s="8"/>
      <c r="G713" s="8"/>
      <c r="H713" s="8"/>
      <c r="I713" s="8"/>
      <c r="J713" s="72"/>
      <c r="K713" s="72"/>
      <c r="L713" s="72"/>
      <c r="M713" s="72"/>
      <c r="N713" s="8"/>
      <c r="O713" s="8"/>
      <c r="P713" s="8"/>
      <c r="Q713" s="8"/>
      <c r="R713" s="8"/>
      <c r="S713" s="8"/>
      <c r="T713" s="8"/>
      <c r="U713" s="5"/>
      <c r="V713" s="5"/>
      <c r="W713" s="5"/>
      <c r="X713" s="5"/>
      <c r="Y713" s="5"/>
      <c r="Z713" s="5"/>
      <c r="AA713" s="69"/>
      <c r="AB713" s="69"/>
      <c r="AC713" s="5"/>
      <c r="AD713" s="88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</row>
    <row r="714" spans="1:256" ht="23.1" customHeight="1" x14ac:dyDescent="0.25">
      <c r="A714" s="5"/>
      <c r="B714" s="288"/>
      <c r="C714" s="12"/>
      <c r="D714" s="12"/>
      <c r="E714" s="8"/>
      <c r="F714" s="8"/>
      <c r="G714" s="8"/>
      <c r="H714" s="8"/>
      <c r="I714" s="8"/>
      <c r="J714" s="72"/>
      <c r="K714" s="72"/>
      <c r="L714" s="72"/>
      <c r="M714" s="72"/>
      <c r="N714" s="8"/>
      <c r="O714" s="8"/>
      <c r="P714" s="8"/>
      <c r="Q714" s="8"/>
      <c r="R714" s="8"/>
      <c r="S714" s="8"/>
      <c r="T714" s="8"/>
      <c r="U714" s="5"/>
      <c r="V714" s="5"/>
      <c r="W714" s="5"/>
      <c r="X714" s="5"/>
      <c r="Y714" s="5"/>
      <c r="Z714" s="5"/>
      <c r="AA714" s="69"/>
      <c r="AB714" s="69"/>
      <c r="AC714" s="5"/>
      <c r="AD714" s="88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</row>
    <row r="715" spans="1:256" ht="23.1" customHeight="1" x14ac:dyDescent="0.25">
      <c r="A715" s="5"/>
      <c r="B715" s="288"/>
      <c r="C715" s="12"/>
      <c r="D715" s="12"/>
      <c r="E715" s="8"/>
      <c r="F715" s="8"/>
      <c r="G715" s="8"/>
      <c r="H715" s="8"/>
      <c r="I715" s="8"/>
      <c r="J715" s="72"/>
      <c r="K715" s="72"/>
      <c r="L715" s="72"/>
      <c r="M715" s="72"/>
      <c r="N715" s="8"/>
      <c r="O715" s="8"/>
      <c r="P715" s="8"/>
      <c r="Q715" s="8"/>
      <c r="R715" s="8"/>
      <c r="S715" s="8"/>
      <c r="T715" s="8"/>
      <c r="U715" s="5"/>
      <c r="V715" s="5"/>
      <c r="W715" s="5"/>
      <c r="X715" s="5"/>
      <c r="Y715" s="5"/>
      <c r="Z715" s="5"/>
      <c r="AA715" s="69"/>
      <c r="AB715" s="69"/>
      <c r="AC715" s="5"/>
      <c r="AD715" s="88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</row>
    <row r="716" spans="1:256" ht="23.1" customHeight="1" x14ac:dyDescent="0.25">
      <c r="A716" s="5"/>
      <c r="B716" s="288"/>
      <c r="C716" s="12"/>
      <c r="D716" s="12"/>
      <c r="E716" s="8"/>
      <c r="F716" s="8"/>
      <c r="G716" s="8"/>
      <c r="H716" s="8"/>
      <c r="I716" s="8"/>
      <c r="J716" s="72"/>
      <c r="K716" s="72"/>
      <c r="L716" s="72"/>
      <c r="M716" s="72"/>
      <c r="N716" s="8"/>
      <c r="O716" s="8"/>
      <c r="P716" s="8"/>
      <c r="Q716" s="8"/>
      <c r="R716" s="8"/>
      <c r="S716" s="8"/>
      <c r="T716" s="8"/>
      <c r="U716" s="5"/>
      <c r="V716" s="5"/>
      <c r="W716" s="5"/>
      <c r="X716" s="5"/>
      <c r="Y716" s="5"/>
      <c r="Z716" s="5"/>
      <c r="AA716" s="69"/>
      <c r="AB716" s="69"/>
      <c r="AC716" s="5"/>
      <c r="AD716" s="88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</row>
    <row r="717" spans="1:256" ht="23.1" customHeight="1" x14ac:dyDescent="0.25">
      <c r="A717" s="5"/>
      <c r="B717" s="288"/>
      <c r="C717" s="12"/>
      <c r="D717" s="12"/>
      <c r="E717" s="8"/>
      <c r="F717" s="8"/>
      <c r="G717" s="8"/>
      <c r="H717" s="8"/>
      <c r="I717" s="8"/>
      <c r="J717" s="72"/>
      <c r="K717" s="72"/>
      <c r="L717" s="72"/>
      <c r="M717" s="72"/>
      <c r="N717" s="8"/>
      <c r="O717" s="8"/>
      <c r="P717" s="8"/>
      <c r="Q717" s="8"/>
      <c r="R717" s="8"/>
      <c r="S717" s="8"/>
      <c r="T717" s="8"/>
      <c r="U717" s="5"/>
      <c r="V717" s="5"/>
      <c r="W717" s="5"/>
      <c r="X717" s="5"/>
      <c r="Y717" s="5"/>
      <c r="Z717" s="5"/>
      <c r="AA717" s="69"/>
      <c r="AB717" s="69"/>
      <c r="AC717" s="5"/>
      <c r="AD717" s="88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</row>
    <row r="718" spans="1:256" ht="23.1" customHeight="1" x14ac:dyDescent="0.25">
      <c r="A718" s="5"/>
      <c r="B718" s="288"/>
      <c r="C718" s="12"/>
      <c r="D718" s="12"/>
      <c r="E718" s="8"/>
      <c r="F718" s="8"/>
      <c r="G718" s="8"/>
      <c r="H718" s="8"/>
      <c r="I718" s="8"/>
      <c r="J718" s="72"/>
      <c r="K718" s="72"/>
      <c r="L718" s="72"/>
      <c r="M718" s="72"/>
      <c r="N718" s="8"/>
      <c r="O718" s="8"/>
      <c r="P718" s="8"/>
      <c r="Q718" s="8"/>
      <c r="R718" s="8"/>
      <c r="S718" s="8"/>
      <c r="T718" s="8"/>
      <c r="U718" s="5"/>
      <c r="V718" s="5"/>
      <c r="W718" s="5"/>
      <c r="X718" s="5"/>
      <c r="Y718" s="5"/>
      <c r="Z718" s="5"/>
      <c r="AA718" s="69"/>
      <c r="AB718" s="69"/>
      <c r="AC718" s="5"/>
      <c r="AD718" s="88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</row>
    <row r="719" spans="1:256" ht="23.1" customHeight="1" x14ac:dyDescent="0.25">
      <c r="A719" s="5"/>
      <c r="B719" s="288"/>
      <c r="C719" s="12"/>
      <c r="D719" s="12"/>
      <c r="E719" s="12"/>
      <c r="F719" s="12"/>
      <c r="G719" s="12"/>
      <c r="H719" s="12"/>
      <c r="I719" s="12"/>
      <c r="J719" s="73"/>
      <c r="K719" s="73"/>
      <c r="L719" s="73"/>
      <c r="M719" s="73"/>
      <c r="N719" s="12"/>
      <c r="O719" s="12"/>
      <c r="P719" s="12"/>
      <c r="Q719" s="12"/>
      <c r="R719" s="12"/>
      <c r="S719" s="12"/>
      <c r="T719" s="12"/>
      <c r="U719" s="5"/>
      <c r="V719" s="5"/>
      <c r="W719" s="5"/>
      <c r="X719" s="5"/>
      <c r="Y719" s="5"/>
      <c r="Z719" s="5"/>
      <c r="AA719" s="69"/>
      <c r="AB719" s="69"/>
      <c r="AC719" s="5"/>
      <c r="AD719" s="88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</row>
    <row r="720" spans="1:256" ht="23.1" customHeight="1" x14ac:dyDescent="0.25">
      <c r="A720" s="5"/>
      <c r="B720" s="288"/>
      <c r="C720" s="12"/>
      <c r="D720" s="12"/>
      <c r="E720" s="12"/>
      <c r="F720" s="12"/>
      <c r="G720" s="12"/>
      <c r="H720" s="12"/>
      <c r="I720" s="12"/>
      <c r="J720" s="73"/>
      <c r="K720" s="73"/>
      <c r="L720" s="73"/>
      <c r="M720" s="73"/>
      <c r="N720" s="12"/>
      <c r="O720" s="12"/>
      <c r="P720" s="12"/>
      <c r="Q720" s="12"/>
      <c r="R720" s="12"/>
      <c r="S720" s="12"/>
      <c r="T720" s="12"/>
      <c r="U720" s="5"/>
      <c r="V720" s="5"/>
      <c r="W720" s="5"/>
      <c r="X720" s="5"/>
      <c r="Y720" s="5"/>
      <c r="Z720" s="5"/>
      <c r="AA720" s="69"/>
      <c r="AB720" s="69"/>
      <c r="AC720" s="5"/>
      <c r="AD720" s="88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</row>
    <row r="721" spans="1:256" ht="23.1" customHeight="1" x14ac:dyDescent="0.25">
      <c r="A721" s="5"/>
      <c r="B721" s="288"/>
      <c r="C721" s="12"/>
      <c r="D721" s="12"/>
      <c r="E721" s="12"/>
      <c r="F721" s="12"/>
      <c r="G721" s="12"/>
      <c r="H721" s="12"/>
      <c r="I721" s="12"/>
      <c r="J721" s="73"/>
      <c r="K721" s="73"/>
      <c r="L721" s="73"/>
      <c r="M721" s="73"/>
      <c r="N721" s="12"/>
      <c r="O721" s="12"/>
      <c r="P721" s="12"/>
      <c r="Q721" s="12"/>
      <c r="R721" s="12"/>
      <c r="S721" s="12"/>
      <c r="T721" s="12"/>
      <c r="U721" s="5"/>
      <c r="V721" s="5"/>
      <c r="W721" s="5"/>
      <c r="X721" s="5"/>
      <c r="Y721" s="5"/>
      <c r="Z721" s="5"/>
      <c r="AA721" s="69"/>
      <c r="AB721" s="69"/>
      <c r="AC721" s="5"/>
      <c r="AD721" s="88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</row>
    <row r="722" spans="1:256" ht="23.1" customHeight="1" x14ac:dyDescent="0.25">
      <c r="A722" s="5"/>
      <c r="B722" s="288"/>
      <c r="C722" s="12"/>
      <c r="D722" s="12"/>
      <c r="E722" s="12"/>
      <c r="F722" s="12"/>
      <c r="G722" s="12"/>
      <c r="H722" s="12"/>
      <c r="I722" s="12"/>
      <c r="J722" s="73"/>
      <c r="K722" s="73"/>
      <c r="L722" s="73"/>
      <c r="M722" s="73"/>
      <c r="N722" s="12"/>
      <c r="O722" s="12"/>
      <c r="P722" s="12"/>
      <c r="Q722" s="12"/>
      <c r="R722" s="12"/>
      <c r="S722" s="12"/>
      <c r="T722" s="12"/>
      <c r="U722" s="5"/>
      <c r="V722" s="5"/>
      <c r="W722" s="5"/>
      <c r="X722" s="5"/>
      <c r="Y722" s="5"/>
      <c r="Z722" s="5"/>
      <c r="AA722" s="69"/>
      <c r="AB722" s="69"/>
      <c r="AC722" s="5"/>
      <c r="AD722" s="88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</row>
    <row r="723" spans="1:256" ht="23.1" customHeight="1" x14ac:dyDescent="0.25">
      <c r="A723" s="5"/>
      <c r="B723" s="288"/>
      <c r="C723" s="12"/>
      <c r="D723" s="12"/>
      <c r="E723" s="12"/>
      <c r="F723" s="12"/>
      <c r="G723" s="12"/>
      <c r="H723" s="12"/>
      <c r="I723" s="12"/>
      <c r="J723" s="73"/>
      <c r="K723" s="73"/>
      <c r="L723" s="73"/>
      <c r="M723" s="73"/>
      <c r="N723" s="12"/>
      <c r="O723" s="12"/>
      <c r="P723" s="12"/>
      <c r="Q723" s="12"/>
      <c r="R723" s="12"/>
      <c r="S723" s="12"/>
      <c r="T723" s="12"/>
      <c r="U723" s="5"/>
      <c r="V723" s="5"/>
      <c r="W723" s="5"/>
      <c r="X723" s="5"/>
      <c r="Y723" s="5"/>
      <c r="Z723" s="5"/>
      <c r="AA723" s="69"/>
      <c r="AB723" s="69"/>
      <c r="AC723" s="5"/>
      <c r="AD723" s="88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</row>
    <row r="724" spans="1:256" ht="23.1" customHeight="1" x14ac:dyDescent="0.25">
      <c r="A724" s="5"/>
      <c r="B724" s="288"/>
      <c r="C724" s="12"/>
      <c r="D724" s="12"/>
      <c r="E724" s="12"/>
      <c r="F724" s="12"/>
      <c r="G724" s="12"/>
      <c r="H724" s="12"/>
      <c r="I724" s="12"/>
      <c r="J724" s="73"/>
      <c r="K724" s="73"/>
      <c r="L724" s="73"/>
      <c r="M724" s="73"/>
      <c r="N724" s="12"/>
      <c r="O724" s="12"/>
      <c r="P724" s="12"/>
      <c r="Q724" s="12"/>
      <c r="R724" s="12"/>
      <c r="S724" s="12"/>
      <c r="T724" s="12"/>
      <c r="U724" s="5"/>
      <c r="V724" s="5"/>
      <c r="W724" s="5"/>
      <c r="X724" s="5"/>
      <c r="Y724" s="5"/>
      <c r="Z724" s="5"/>
      <c r="AA724" s="69"/>
      <c r="AB724" s="69"/>
      <c r="AC724" s="5"/>
      <c r="AD724" s="88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</row>
    <row r="725" spans="1:256" ht="23.1" customHeight="1" x14ac:dyDescent="0.25">
      <c r="A725" s="5"/>
      <c r="B725" s="288"/>
      <c r="C725" s="12"/>
      <c r="D725" s="12"/>
      <c r="E725" s="12"/>
      <c r="F725" s="12"/>
      <c r="G725" s="12"/>
      <c r="H725" s="12"/>
      <c r="I725" s="12"/>
      <c r="J725" s="73"/>
      <c r="K725" s="73"/>
      <c r="L725" s="73"/>
      <c r="M725" s="73"/>
      <c r="N725" s="12"/>
      <c r="O725" s="12"/>
      <c r="P725" s="12"/>
      <c r="Q725" s="12"/>
      <c r="R725" s="12"/>
      <c r="S725" s="12"/>
      <c r="T725" s="12"/>
      <c r="U725" s="5"/>
      <c r="V725" s="5"/>
      <c r="W725" s="5"/>
      <c r="X725" s="5"/>
      <c r="Y725" s="5"/>
      <c r="Z725" s="5"/>
      <c r="AA725" s="69"/>
      <c r="AB725" s="69"/>
      <c r="AC725" s="5"/>
      <c r="AD725" s="88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</row>
    <row r="726" spans="1:256" ht="23.1" customHeight="1" x14ac:dyDescent="0.25">
      <c r="A726" s="5"/>
      <c r="B726" s="288"/>
      <c r="C726" s="12"/>
      <c r="D726" s="12"/>
      <c r="E726" s="12"/>
      <c r="F726" s="12"/>
      <c r="G726" s="12"/>
      <c r="H726" s="12"/>
      <c r="I726" s="12"/>
      <c r="J726" s="73"/>
      <c r="K726" s="73"/>
      <c r="L726" s="73"/>
      <c r="M726" s="73"/>
      <c r="N726" s="12"/>
      <c r="O726" s="12"/>
      <c r="P726" s="12"/>
      <c r="Q726" s="12"/>
      <c r="R726" s="12"/>
      <c r="S726" s="12"/>
      <c r="T726" s="12"/>
      <c r="U726" s="5"/>
      <c r="V726" s="5"/>
      <c r="W726" s="5"/>
      <c r="X726" s="5"/>
      <c r="Y726" s="5"/>
      <c r="Z726" s="5"/>
      <c r="AA726" s="69"/>
      <c r="AB726" s="69"/>
      <c r="AC726" s="5"/>
      <c r="AD726" s="88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</row>
    <row r="727" spans="1:256" ht="23.1" customHeight="1" x14ac:dyDescent="0.25">
      <c r="A727" s="5"/>
      <c r="B727" s="288"/>
      <c r="C727" s="12"/>
      <c r="D727" s="12"/>
      <c r="E727" s="12"/>
      <c r="F727" s="12"/>
      <c r="G727" s="12"/>
      <c r="H727" s="12"/>
      <c r="I727" s="12"/>
      <c r="J727" s="73"/>
      <c r="K727" s="73"/>
      <c r="L727" s="73"/>
      <c r="M727" s="73"/>
      <c r="N727" s="12"/>
      <c r="O727" s="12"/>
      <c r="P727" s="12"/>
      <c r="Q727" s="12"/>
      <c r="R727" s="12"/>
      <c r="S727" s="12"/>
      <c r="T727" s="12"/>
      <c r="U727" s="5"/>
      <c r="V727" s="5"/>
      <c r="W727" s="5"/>
      <c r="X727" s="5"/>
      <c r="Y727" s="5"/>
      <c r="Z727" s="5"/>
      <c r="AA727" s="69"/>
      <c r="AB727" s="69"/>
      <c r="AC727" s="5"/>
      <c r="AD727" s="88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</row>
    <row r="728" spans="1:256" ht="23.1" customHeight="1" x14ac:dyDescent="0.25">
      <c r="A728" s="5"/>
      <c r="B728" s="288"/>
      <c r="C728" s="12"/>
      <c r="D728" s="12"/>
      <c r="E728" s="12"/>
      <c r="F728" s="12"/>
      <c r="G728" s="12"/>
      <c r="H728" s="12"/>
      <c r="I728" s="12"/>
      <c r="J728" s="73"/>
      <c r="K728" s="73"/>
      <c r="L728" s="73"/>
      <c r="M728" s="73"/>
      <c r="N728" s="12"/>
      <c r="O728" s="12"/>
      <c r="P728" s="12"/>
      <c r="Q728" s="12"/>
      <c r="R728" s="12"/>
      <c r="S728" s="12"/>
      <c r="T728" s="12"/>
      <c r="U728" s="5"/>
      <c r="V728" s="5"/>
      <c r="W728" s="5"/>
      <c r="X728" s="5"/>
      <c r="Y728" s="5"/>
      <c r="Z728" s="5"/>
      <c r="AA728" s="69"/>
      <c r="AB728" s="69"/>
      <c r="AC728" s="5"/>
      <c r="AD728" s="88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</row>
    <row r="729" spans="1:256" ht="23.1" customHeight="1" x14ac:dyDescent="0.25">
      <c r="A729" s="5"/>
      <c r="B729" s="288"/>
      <c r="C729" s="12"/>
      <c r="D729" s="12"/>
      <c r="E729" s="12"/>
      <c r="F729" s="12"/>
      <c r="G729" s="12"/>
      <c r="H729" s="12"/>
      <c r="I729" s="12"/>
      <c r="J729" s="73"/>
      <c r="K729" s="73"/>
      <c r="L729" s="73"/>
      <c r="M729" s="73"/>
      <c r="N729" s="12"/>
      <c r="O729" s="12"/>
      <c r="P729" s="12"/>
      <c r="Q729" s="12"/>
      <c r="R729" s="12"/>
      <c r="S729" s="12"/>
      <c r="T729" s="12"/>
      <c r="U729" s="5"/>
      <c r="V729" s="5"/>
      <c r="W729" s="5"/>
      <c r="X729" s="5"/>
      <c r="Y729" s="5"/>
      <c r="Z729" s="5"/>
      <c r="AA729" s="69"/>
      <c r="AB729" s="69"/>
      <c r="AC729" s="5"/>
      <c r="AD729" s="88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</row>
    <row r="730" spans="1:256" ht="23.1" customHeight="1" x14ac:dyDescent="0.25">
      <c r="A730" s="5"/>
      <c r="B730" s="288"/>
      <c r="C730" s="12"/>
      <c r="D730" s="12"/>
      <c r="E730" s="12"/>
      <c r="F730" s="12"/>
      <c r="G730" s="12"/>
      <c r="H730" s="12"/>
      <c r="I730" s="12"/>
      <c r="J730" s="73"/>
      <c r="K730" s="73"/>
      <c r="L730" s="73"/>
      <c r="M730" s="73"/>
      <c r="N730" s="12"/>
      <c r="O730" s="12"/>
      <c r="P730" s="12"/>
      <c r="Q730" s="12"/>
      <c r="R730" s="12"/>
      <c r="S730" s="12"/>
      <c r="T730" s="12"/>
      <c r="U730" s="5"/>
      <c r="V730" s="5"/>
      <c r="W730" s="5"/>
      <c r="X730" s="5"/>
      <c r="Y730" s="5"/>
      <c r="Z730" s="5"/>
      <c r="AA730" s="69"/>
      <c r="AB730" s="69"/>
      <c r="AC730" s="5"/>
      <c r="AD730" s="88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</row>
    <row r="731" spans="1:256" ht="23.1" customHeight="1" x14ac:dyDescent="0.25">
      <c r="A731" s="5"/>
      <c r="B731" s="288"/>
      <c r="C731" s="12"/>
      <c r="D731" s="12"/>
      <c r="E731" s="12"/>
      <c r="F731" s="12"/>
      <c r="G731" s="12"/>
      <c r="H731" s="12"/>
      <c r="I731" s="12"/>
      <c r="J731" s="73"/>
      <c r="K731" s="73"/>
      <c r="L731" s="73"/>
      <c r="M731" s="73"/>
      <c r="N731" s="12"/>
      <c r="O731" s="12"/>
      <c r="P731" s="12"/>
      <c r="Q731" s="12"/>
      <c r="R731" s="12"/>
      <c r="S731" s="12"/>
      <c r="T731" s="12"/>
      <c r="U731" s="5"/>
      <c r="V731" s="5"/>
      <c r="W731" s="5"/>
      <c r="X731" s="5"/>
      <c r="Y731" s="5"/>
      <c r="Z731" s="5"/>
      <c r="AA731" s="69"/>
      <c r="AB731" s="69"/>
      <c r="AC731" s="5"/>
      <c r="AD731" s="88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</row>
    <row r="732" spans="1:256" ht="23.1" customHeight="1" x14ac:dyDescent="0.25">
      <c r="A732" s="5"/>
      <c r="B732" s="288"/>
      <c r="C732" s="12"/>
      <c r="D732" s="12"/>
      <c r="E732" s="12"/>
      <c r="F732" s="12"/>
      <c r="G732" s="12"/>
      <c r="H732" s="12"/>
      <c r="I732" s="12"/>
      <c r="J732" s="73"/>
      <c r="K732" s="73"/>
      <c r="L732" s="73"/>
      <c r="M732" s="73"/>
      <c r="N732" s="12"/>
      <c r="O732" s="12"/>
      <c r="P732" s="12"/>
      <c r="Q732" s="12"/>
      <c r="R732" s="12"/>
      <c r="S732" s="12"/>
      <c r="T732" s="12"/>
      <c r="U732" s="5"/>
      <c r="V732" s="5"/>
      <c r="W732" s="5"/>
      <c r="X732" s="5"/>
      <c r="Y732" s="5"/>
      <c r="Z732" s="5"/>
      <c r="AA732" s="69"/>
      <c r="AB732" s="69"/>
      <c r="AC732" s="5"/>
      <c r="AD732" s="88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</row>
    <row r="733" spans="1:256" ht="23.1" customHeight="1" x14ac:dyDescent="0.25">
      <c r="A733" s="5"/>
      <c r="B733" s="288"/>
      <c r="C733" s="12"/>
      <c r="D733" s="12"/>
      <c r="E733" s="12"/>
      <c r="F733" s="12"/>
      <c r="G733" s="12"/>
      <c r="H733" s="12"/>
      <c r="I733" s="12"/>
      <c r="J733" s="73"/>
      <c r="K733" s="73"/>
      <c r="L733" s="73"/>
      <c r="M733" s="73"/>
      <c r="N733" s="12"/>
      <c r="O733" s="12"/>
      <c r="P733" s="12"/>
      <c r="Q733" s="12"/>
      <c r="R733" s="12"/>
      <c r="S733" s="12"/>
      <c r="T733" s="12"/>
      <c r="U733" s="5"/>
      <c r="V733" s="5"/>
      <c r="W733" s="5"/>
      <c r="X733" s="5"/>
      <c r="Y733" s="5"/>
      <c r="Z733" s="5"/>
      <c r="AA733" s="69"/>
      <c r="AB733" s="69"/>
      <c r="AC733" s="5"/>
      <c r="AD733" s="88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</row>
    <row r="734" spans="1:256" ht="23.1" customHeight="1" x14ac:dyDescent="0.25">
      <c r="A734" s="5"/>
      <c r="B734" s="288"/>
      <c r="C734" s="12"/>
      <c r="D734" s="12"/>
      <c r="E734" s="12"/>
      <c r="F734" s="12"/>
      <c r="G734" s="12"/>
      <c r="H734" s="12"/>
      <c r="I734" s="12"/>
      <c r="J734" s="73"/>
      <c r="K734" s="73"/>
      <c r="L734" s="73"/>
      <c r="M734" s="73"/>
      <c r="N734" s="12"/>
      <c r="O734" s="12"/>
      <c r="P734" s="12"/>
      <c r="Q734" s="12"/>
      <c r="R734" s="12"/>
      <c r="S734" s="12"/>
      <c r="T734" s="12"/>
      <c r="U734" s="5"/>
      <c r="V734" s="5"/>
      <c r="W734" s="5"/>
      <c r="X734" s="5"/>
      <c r="Y734" s="5"/>
      <c r="Z734" s="5"/>
      <c r="AA734" s="69"/>
      <c r="AB734" s="69"/>
      <c r="AC734" s="5"/>
      <c r="AD734" s="88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</row>
    <row r="735" spans="1:256" ht="23.1" customHeight="1" x14ac:dyDescent="0.25">
      <c r="A735" s="5"/>
      <c r="B735" s="288"/>
      <c r="C735" s="12"/>
      <c r="D735" s="12"/>
      <c r="E735" s="12"/>
      <c r="F735" s="12"/>
      <c r="G735" s="12"/>
      <c r="H735" s="12"/>
      <c r="I735" s="12"/>
      <c r="J735" s="73"/>
      <c r="K735" s="73"/>
      <c r="L735" s="73"/>
      <c r="M735" s="73"/>
      <c r="N735" s="12"/>
      <c r="O735" s="12"/>
      <c r="P735" s="12"/>
      <c r="Q735" s="12"/>
      <c r="R735" s="12"/>
      <c r="S735" s="12"/>
      <c r="T735" s="12"/>
      <c r="U735" s="5"/>
      <c r="V735" s="5"/>
      <c r="W735" s="5"/>
      <c r="X735" s="5"/>
      <c r="Y735" s="5"/>
      <c r="Z735" s="5"/>
      <c r="AA735" s="69"/>
      <c r="AB735" s="69"/>
      <c r="AC735" s="5"/>
      <c r="AD735" s="88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</row>
    <row r="736" spans="1:256" ht="23.1" customHeight="1" x14ac:dyDescent="0.25">
      <c r="A736" s="5"/>
      <c r="B736" s="288"/>
      <c r="C736" s="12"/>
      <c r="D736" s="12"/>
      <c r="E736" s="12"/>
      <c r="F736" s="12"/>
      <c r="G736" s="12"/>
      <c r="H736" s="12"/>
      <c r="I736" s="12"/>
      <c r="J736" s="73"/>
      <c r="K736" s="73"/>
      <c r="L736" s="73"/>
      <c r="M736" s="73"/>
      <c r="N736" s="12"/>
      <c r="O736" s="12"/>
      <c r="P736" s="12"/>
      <c r="Q736" s="12"/>
      <c r="R736" s="12"/>
      <c r="S736" s="12"/>
      <c r="T736" s="12"/>
      <c r="U736" s="5"/>
      <c r="V736" s="5"/>
      <c r="W736" s="5"/>
      <c r="X736" s="5"/>
      <c r="Y736" s="5"/>
      <c r="Z736" s="5"/>
      <c r="AA736" s="69"/>
      <c r="AB736" s="69"/>
      <c r="AC736" s="5"/>
      <c r="AD736" s="88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</row>
    <row r="737" spans="1:256" ht="23.1" customHeight="1" x14ac:dyDescent="0.25">
      <c r="A737" s="5"/>
      <c r="B737" s="288"/>
      <c r="C737" s="12"/>
      <c r="D737" s="12"/>
      <c r="E737" s="12"/>
      <c r="F737" s="12"/>
      <c r="G737" s="12"/>
      <c r="H737" s="12"/>
      <c r="I737" s="12"/>
      <c r="J737" s="73"/>
      <c r="K737" s="73"/>
      <c r="L737" s="73"/>
      <c r="M737" s="73"/>
      <c r="N737" s="12"/>
      <c r="O737" s="12"/>
      <c r="P737" s="12"/>
      <c r="Q737" s="12"/>
      <c r="R737" s="12"/>
      <c r="S737" s="12"/>
      <c r="T737" s="12"/>
      <c r="U737" s="5"/>
      <c r="V737" s="5"/>
      <c r="W737" s="5"/>
      <c r="X737" s="5"/>
      <c r="Y737" s="5"/>
      <c r="Z737" s="5"/>
      <c r="AA737" s="69"/>
      <c r="AB737" s="69"/>
      <c r="AC737" s="5"/>
      <c r="AD737" s="88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</row>
    <row r="738" spans="1:256" ht="23.1" customHeight="1" x14ac:dyDescent="0.25">
      <c r="A738" s="5"/>
      <c r="B738" s="288"/>
      <c r="C738" s="12"/>
      <c r="D738" s="12"/>
      <c r="E738" s="12"/>
      <c r="F738" s="12"/>
      <c r="G738" s="12"/>
      <c r="H738" s="12"/>
      <c r="I738" s="12"/>
      <c r="J738" s="73"/>
      <c r="K738" s="73"/>
      <c r="L738" s="73"/>
      <c r="M738" s="73"/>
      <c r="N738" s="12"/>
      <c r="O738" s="12"/>
      <c r="P738" s="12"/>
      <c r="Q738" s="12"/>
      <c r="R738" s="12"/>
      <c r="S738" s="12"/>
      <c r="T738" s="12"/>
      <c r="U738" s="5"/>
      <c r="V738" s="5"/>
      <c r="W738" s="5"/>
      <c r="X738" s="5"/>
      <c r="Y738" s="5"/>
      <c r="Z738" s="5"/>
      <c r="AA738" s="69"/>
      <c r="AB738" s="69"/>
      <c r="AC738" s="5"/>
      <c r="AD738" s="88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</row>
    <row r="739" spans="1:256" ht="23.1" customHeight="1" x14ac:dyDescent="0.25">
      <c r="A739" s="5"/>
      <c r="B739" s="288"/>
      <c r="C739" s="12"/>
      <c r="D739" s="12"/>
      <c r="E739" s="12"/>
      <c r="F739" s="12"/>
      <c r="G739" s="12"/>
      <c r="H739" s="12"/>
      <c r="I739" s="12"/>
      <c r="J739" s="73"/>
      <c r="K739" s="73"/>
      <c r="L739" s="73"/>
      <c r="M739" s="73"/>
      <c r="N739" s="12"/>
      <c r="O739" s="12"/>
      <c r="P739" s="12"/>
      <c r="Q739" s="12"/>
      <c r="R739" s="12"/>
      <c r="S739" s="12"/>
      <c r="T739" s="12"/>
      <c r="U739" s="5"/>
      <c r="V739" s="5"/>
      <c r="W739" s="5"/>
      <c r="X739" s="5"/>
      <c r="Y739" s="5"/>
      <c r="Z739" s="5"/>
      <c r="AA739" s="69"/>
      <c r="AB739" s="69"/>
      <c r="AC739" s="5"/>
      <c r="AD739" s="88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</row>
    <row r="740" spans="1:256" ht="23.1" customHeight="1" x14ac:dyDescent="0.25">
      <c r="A740" s="5"/>
      <c r="B740" s="288"/>
      <c r="C740" s="12"/>
      <c r="D740" s="12"/>
      <c r="E740" s="12"/>
      <c r="F740" s="12"/>
      <c r="G740" s="12"/>
      <c r="H740" s="12"/>
      <c r="I740" s="12"/>
      <c r="J740" s="73"/>
      <c r="K740" s="73"/>
      <c r="L740" s="73"/>
      <c r="M740" s="73"/>
      <c r="N740" s="12"/>
      <c r="O740" s="12"/>
      <c r="P740" s="12"/>
      <c r="Q740" s="12"/>
      <c r="R740" s="12"/>
      <c r="S740" s="12"/>
      <c r="T740" s="12"/>
      <c r="U740" s="5"/>
      <c r="V740" s="5"/>
      <c r="W740" s="5"/>
      <c r="X740" s="5"/>
      <c r="Y740" s="5"/>
      <c r="Z740" s="5"/>
      <c r="AA740" s="69"/>
      <c r="AB740" s="69"/>
      <c r="AC740" s="5"/>
      <c r="AD740" s="88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</row>
    <row r="741" spans="1:256" ht="23.1" customHeight="1" x14ac:dyDescent="0.25">
      <c r="A741" s="5"/>
      <c r="B741" s="288"/>
      <c r="C741" s="12"/>
      <c r="D741" s="12"/>
      <c r="E741" s="12"/>
      <c r="F741" s="12"/>
      <c r="G741" s="12"/>
      <c r="H741" s="12"/>
      <c r="I741" s="12"/>
      <c r="J741" s="73"/>
      <c r="K741" s="73"/>
      <c r="L741" s="73"/>
      <c r="M741" s="73"/>
      <c r="N741" s="12"/>
      <c r="O741" s="12"/>
      <c r="P741" s="12"/>
      <c r="Q741" s="12"/>
      <c r="R741" s="12"/>
      <c r="S741" s="12"/>
      <c r="T741" s="12"/>
      <c r="U741" s="5"/>
      <c r="V741" s="5"/>
      <c r="W741" s="5"/>
      <c r="X741" s="5"/>
      <c r="Y741" s="5"/>
      <c r="Z741" s="5"/>
      <c r="AA741" s="69"/>
      <c r="AB741" s="69"/>
      <c r="AC741" s="5"/>
      <c r="AD741" s="88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</row>
    <row r="742" spans="1:256" ht="23.1" customHeight="1" x14ac:dyDescent="0.25">
      <c r="A742" s="5"/>
      <c r="B742" s="288"/>
      <c r="C742" s="12"/>
      <c r="D742" s="12"/>
      <c r="E742" s="12"/>
      <c r="F742" s="12"/>
      <c r="G742" s="12"/>
      <c r="H742" s="12"/>
      <c r="I742" s="12"/>
      <c r="J742" s="73"/>
      <c r="K742" s="73"/>
      <c r="L742" s="73"/>
      <c r="M742" s="73"/>
      <c r="N742" s="12"/>
      <c r="O742" s="12"/>
      <c r="P742" s="12"/>
      <c r="Q742" s="12"/>
      <c r="R742" s="12"/>
      <c r="S742" s="12"/>
      <c r="T742" s="12"/>
      <c r="U742" s="5"/>
      <c r="V742" s="5"/>
      <c r="W742" s="5"/>
      <c r="X742" s="5"/>
      <c r="Y742" s="5"/>
      <c r="Z742" s="5"/>
      <c r="AA742" s="69"/>
      <c r="AB742" s="69"/>
      <c r="AC742" s="5"/>
      <c r="AD742" s="88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</row>
    <row r="743" spans="1:256" ht="23.1" customHeight="1" x14ac:dyDescent="0.25">
      <c r="A743" s="5"/>
      <c r="B743" s="288"/>
      <c r="C743" s="12"/>
      <c r="D743" s="12"/>
      <c r="E743" s="12"/>
      <c r="F743" s="12"/>
      <c r="G743" s="12"/>
      <c r="H743" s="12"/>
      <c r="I743" s="12"/>
      <c r="J743" s="73"/>
      <c r="K743" s="73"/>
      <c r="L743" s="73"/>
      <c r="M743" s="73"/>
      <c r="N743" s="12"/>
      <c r="O743" s="12"/>
      <c r="P743" s="12"/>
      <c r="Q743" s="12"/>
      <c r="R743" s="12"/>
      <c r="S743" s="12"/>
      <c r="T743" s="12"/>
      <c r="U743" s="5"/>
      <c r="V743" s="5"/>
      <c r="W743" s="5"/>
      <c r="X743" s="5"/>
      <c r="Y743" s="5"/>
      <c r="Z743" s="5"/>
      <c r="AA743" s="69"/>
      <c r="AB743" s="69"/>
      <c r="AC743" s="5"/>
      <c r="AD743" s="88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</row>
    <row r="744" spans="1:256" ht="23.1" customHeight="1" x14ac:dyDescent="0.25">
      <c r="A744" s="5"/>
      <c r="B744" s="288"/>
      <c r="C744" s="12"/>
      <c r="D744" s="12"/>
      <c r="E744" s="12"/>
      <c r="F744" s="12"/>
      <c r="G744" s="12"/>
      <c r="H744" s="12"/>
      <c r="I744" s="12"/>
      <c r="J744" s="73"/>
      <c r="K744" s="73"/>
      <c r="L744" s="73"/>
      <c r="M744" s="73"/>
      <c r="N744" s="12"/>
      <c r="O744" s="12"/>
      <c r="P744" s="12"/>
      <c r="Q744" s="12"/>
      <c r="R744" s="12"/>
      <c r="S744" s="12"/>
      <c r="T744" s="12"/>
      <c r="U744" s="5"/>
      <c r="V744" s="5"/>
      <c r="W744" s="5"/>
      <c r="X744" s="5"/>
      <c r="Y744" s="5"/>
      <c r="Z744" s="5"/>
      <c r="AA744" s="69"/>
      <c r="AB744" s="69"/>
      <c r="AC744" s="5"/>
      <c r="AD744" s="88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</row>
    <row r="745" spans="1:256" ht="23.1" customHeight="1" x14ac:dyDescent="0.25">
      <c r="A745" s="5"/>
      <c r="B745" s="288"/>
      <c r="C745" s="12"/>
      <c r="D745" s="12"/>
      <c r="E745" s="12"/>
      <c r="F745" s="12"/>
      <c r="G745" s="12"/>
      <c r="H745" s="12"/>
      <c r="I745" s="12"/>
      <c r="J745" s="73"/>
      <c r="K745" s="73"/>
      <c r="L745" s="73"/>
      <c r="M745" s="73"/>
      <c r="N745" s="12"/>
      <c r="O745" s="12"/>
      <c r="P745" s="12"/>
      <c r="Q745" s="12"/>
      <c r="R745" s="12"/>
      <c r="S745" s="12"/>
      <c r="T745" s="12"/>
      <c r="U745" s="5"/>
      <c r="V745" s="5"/>
      <c r="W745" s="5"/>
      <c r="X745" s="5"/>
      <c r="Y745" s="5"/>
      <c r="Z745" s="5"/>
      <c r="AA745" s="69"/>
      <c r="AB745" s="69"/>
      <c r="AC745" s="5"/>
      <c r="AD745" s="88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</row>
    <row r="746" spans="1:256" ht="23.1" customHeight="1" x14ac:dyDescent="0.25">
      <c r="A746" s="5"/>
      <c r="B746" s="288"/>
      <c r="C746" s="12"/>
      <c r="D746" s="12"/>
      <c r="E746" s="12"/>
      <c r="F746" s="12"/>
      <c r="G746" s="12"/>
      <c r="H746" s="12"/>
      <c r="I746" s="12"/>
      <c r="J746" s="73"/>
      <c r="K746" s="73"/>
      <c r="L746" s="73"/>
      <c r="M746" s="73"/>
      <c r="N746" s="12"/>
      <c r="O746" s="12"/>
      <c r="P746" s="12"/>
      <c r="Q746" s="12"/>
      <c r="R746" s="12"/>
      <c r="S746" s="12"/>
      <c r="T746" s="12"/>
      <c r="U746" s="5"/>
      <c r="V746" s="5"/>
      <c r="W746" s="5"/>
      <c r="X746" s="5"/>
      <c r="Y746" s="5"/>
      <c r="Z746" s="5"/>
      <c r="AA746" s="69"/>
      <c r="AB746" s="69"/>
      <c r="AC746" s="5"/>
      <c r="AD746" s="88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</row>
    <row r="747" spans="1:256" ht="23.1" customHeight="1" x14ac:dyDescent="0.25">
      <c r="A747" s="5"/>
      <c r="B747" s="288"/>
      <c r="C747" s="12"/>
      <c r="D747" s="12"/>
      <c r="E747" s="12"/>
      <c r="F747" s="12"/>
      <c r="G747" s="12"/>
      <c r="H747" s="12"/>
      <c r="I747" s="12"/>
      <c r="J747" s="73"/>
      <c r="K747" s="73"/>
      <c r="L747" s="73"/>
      <c r="M747" s="73"/>
      <c r="N747" s="12"/>
      <c r="O747" s="12"/>
      <c r="P747" s="12"/>
      <c r="Q747" s="12"/>
      <c r="R747" s="12"/>
      <c r="S747" s="12"/>
      <c r="T747" s="12"/>
      <c r="U747" s="5"/>
      <c r="V747" s="5"/>
      <c r="W747" s="5"/>
      <c r="X747" s="5"/>
      <c r="Y747" s="5"/>
      <c r="Z747" s="5"/>
      <c r="AA747" s="69"/>
      <c r="AB747" s="69"/>
      <c r="AC747" s="5"/>
      <c r="AD747" s="88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</row>
    <row r="748" spans="1:256" ht="23.1" customHeight="1" x14ac:dyDescent="0.25">
      <c r="A748" s="5"/>
      <c r="B748" s="288"/>
      <c r="C748" s="12"/>
      <c r="D748" s="12"/>
      <c r="E748" s="12"/>
      <c r="F748" s="12"/>
      <c r="G748" s="12"/>
      <c r="H748" s="12"/>
      <c r="I748" s="12"/>
      <c r="J748" s="73"/>
      <c r="K748" s="73"/>
      <c r="L748" s="73"/>
      <c r="M748" s="73"/>
      <c r="N748" s="12"/>
      <c r="O748" s="12"/>
      <c r="P748" s="12"/>
      <c r="Q748" s="12"/>
      <c r="R748" s="12"/>
      <c r="S748" s="12"/>
      <c r="T748" s="12"/>
      <c r="U748" s="5"/>
      <c r="V748" s="5"/>
      <c r="W748" s="5"/>
      <c r="X748" s="5"/>
      <c r="Y748" s="5"/>
      <c r="Z748" s="5"/>
      <c r="AA748" s="69"/>
      <c r="AB748" s="69"/>
      <c r="AC748" s="5"/>
      <c r="AD748" s="88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</row>
    <row r="749" spans="1:256" ht="23.1" customHeight="1" x14ac:dyDescent="0.25">
      <c r="A749" s="5"/>
      <c r="B749" s="288"/>
      <c r="C749" s="12"/>
      <c r="D749" s="12"/>
      <c r="E749" s="12"/>
      <c r="F749" s="12"/>
      <c r="G749" s="12"/>
      <c r="H749" s="12"/>
      <c r="I749" s="12"/>
      <c r="J749" s="73"/>
      <c r="K749" s="73"/>
      <c r="L749" s="73"/>
      <c r="M749" s="73"/>
      <c r="N749" s="12"/>
      <c r="O749" s="12"/>
      <c r="P749" s="12"/>
      <c r="Q749" s="12"/>
      <c r="R749" s="12"/>
      <c r="S749" s="12"/>
      <c r="T749" s="12"/>
      <c r="U749" s="5"/>
      <c r="V749" s="5"/>
      <c r="W749" s="5"/>
      <c r="X749" s="5"/>
      <c r="Y749" s="5"/>
      <c r="Z749" s="5"/>
      <c r="AA749" s="69"/>
      <c r="AB749" s="69"/>
      <c r="AC749" s="5"/>
      <c r="AD749" s="88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</row>
    <row r="750" spans="1:256" ht="23.1" customHeight="1" x14ac:dyDescent="0.25">
      <c r="A750" s="5"/>
      <c r="B750" s="288"/>
      <c r="C750" s="12"/>
      <c r="D750" s="12"/>
      <c r="E750" s="12"/>
      <c r="F750" s="12"/>
      <c r="G750" s="12"/>
      <c r="H750" s="12"/>
      <c r="I750" s="12"/>
      <c r="J750" s="73"/>
      <c r="K750" s="73"/>
      <c r="L750" s="73"/>
      <c r="M750" s="73"/>
      <c r="N750" s="12"/>
      <c r="O750" s="12"/>
      <c r="P750" s="12"/>
      <c r="Q750" s="12"/>
      <c r="R750" s="12"/>
      <c r="S750" s="12"/>
      <c r="T750" s="12"/>
      <c r="U750" s="5"/>
      <c r="V750" s="5"/>
      <c r="W750" s="5"/>
      <c r="X750" s="5"/>
      <c r="Y750" s="5"/>
      <c r="Z750" s="5"/>
      <c r="AA750" s="69"/>
      <c r="AB750" s="69"/>
      <c r="AC750" s="5"/>
      <c r="AD750" s="88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</row>
    <row r="751" spans="1:256" ht="23.1" customHeight="1" x14ac:dyDescent="0.25">
      <c r="A751" s="5"/>
      <c r="B751" s="288"/>
      <c r="C751" s="12"/>
      <c r="D751" s="12"/>
      <c r="E751" s="12"/>
      <c r="F751" s="12"/>
      <c r="G751" s="12"/>
      <c r="H751" s="12"/>
      <c r="I751" s="12"/>
      <c r="J751" s="73"/>
      <c r="K751" s="73"/>
      <c r="L751" s="73"/>
      <c r="M751" s="73"/>
      <c r="N751" s="12"/>
      <c r="O751" s="12"/>
      <c r="P751" s="12"/>
      <c r="Q751" s="12"/>
      <c r="R751" s="12"/>
      <c r="S751" s="12"/>
      <c r="T751" s="12"/>
      <c r="U751" s="5"/>
      <c r="V751" s="5"/>
      <c r="W751" s="5"/>
      <c r="X751" s="5"/>
      <c r="Y751" s="5"/>
      <c r="Z751" s="5"/>
      <c r="AA751" s="69"/>
      <c r="AB751" s="69"/>
      <c r="AC751" s="5"/>
      <c r="AD751" s="88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</row>
    <row r="752" spans="1:256" ht="23.1" customHeight="1" x14ac:dyDescent="0.25">
      <c r="A752" s="5"/>
      <c r="B752" s="288"/>
      <c r="C752" s="12"/>
      <c r="D752" s="12"/>
      <c r="E752" s="12"/>
      <c r="F752" s="12"/>
      <c r="G752" s="12"/>
      <c r="H752" s="12"/>
      <c r="I752" s="12"/>
      <c r="J752" s="73"/>
      <c r="K752" s="73"/>
      <c r="L752" s="73"/>
      <c r="M752" s="73"/>
      <c r="N752" s="12"/>
      <c r="O752" s="12"/>
      <c r="P752" s="12"/>
      <c r="Q752" s="12"/>
      <c r="R752" s="12"/>
      <c r="S752" s="12"/>
      <c r="T752" s="12"/>
      <c r="U752" s="5"/>
      <c r="V752" s="5"/>
      <c r="W752" s="5"/>
      <c r="X752" s="5"/>
      <c r="Y752" s="5"/>
      <c r="Z752" s="5"/>
      <c r="AA752" s="69"/>
      <c r="AB752" s="69"/>
      <c r="AC752" s="5"/>
      <c r="AD752" s="88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</row>
    <row r="753" spans="1:256" ht="23.1" customHeight="1" x14ac:dyDescent="0.25">
      <c r="A753" s="5"/>
      <c r="B753" s="288"/>
      <c r="C753" s="12"/>
      <c r="D753" s="12"/>
      <c r="E753" s="12"/>
      <c r="F753" s="12"/>
      <c r="G753" s="12"/>
      <c r="H753" s="12"/>
      <c r="I753" s="12"/>
      <c r="J753" s="73"/>
      <c r="K753" s="73"/>
      <c r="L753" s="73"/>
      <c r="M753" s="73"/>
      <c r="N753" s="12"/>
      <c r="O753" s="12"/>
      <c r="P753" s="12"/>
      <c r="Q753" s="12"/>
      <c r="R753" s="12"/>
      <c r="S753" s="12"/>
      <c r="T753" s="12"/>
      <c r="U753" s="5"/>
      <c r="V753" s="5"/>
      <c r="W753" s="5"/>
      <c r="X753" s="5"/>
      <c r="Y753" s="5"/>
      <c r="Z753" s="5"/>
      <c r="AA753" s="69"/>
      <c r="AB753" s="69"/>
      <c r="AC753" s="5"/>
      <c r="AD753" s="88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</row>
    <row r="754" spans="1:256" ht="23.1" customHeight="1" x14ac:dyDescent="0.25">
      <c r="A754" s="5"/>
      <c r="B754" s="288"/>
      <c r="C754" s="12"/>
      <c r="D754" s="12"/>
      <c r="E754" s="12"/>
      <c r="F754" s="12"/>
      <c r="G754" s="12"/>
      <c r="H754" s="12"/>
      <c r="I754" s="12"/>
      <c r="J754" s="73"/>
      <c r="K754" s="73"/>
      <c r="L754" s="73"/>
      <c r="M754" s="73"/>
      <c r="N754" s="12"/>
      <c r="O754" s="12"/>
      <c r="P754" s="12"/>
      <c r="Q754" s="12"/>
      <c r="R754" s="12"/>
      <c r="S754" s="12"/>
      <c r="T754" s="12"/>
      <c r="U754" s="5"/>
      <c r="V754" s="5"/>
      <c r="W754" s="5"/>
      <c r="X754" s="5"/>
      <c r="Y754" s="5"/>
      <c r="Z754" s="5"/>
      <c r="AA754" s="69"/>
      <c r="AB754" s="69"/>
      <c r="AC754" s="5"/>
      <c r="AD754" s="88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</row>
    <row r="755" spans="1:256" ht="23.1" customHeight="1" x14ac:dyDescent="0.25">
      <c r="A755" s="5"/>
      <c r="B755" s="288"/>
      <c r="C755" s="12"/>
      <c r="D755" s="12"/>
      <c r="E755" s="12"/>
      <c r="F755" s="12"/>
      <c r="G755" s="12"/>
      <c r="H755" s="12"/>
      <c r="I755" s="12"/>
      <c r="J755" s="73"/>
      <c r="K755" s="73"/>
      <c r="L755" s="73"/>
      <c r="M755" s="73"/>
      <c r="N755" s="12"/>
      <c r="O755" s="12"/>
      <c r="P755" s="12"/>
      <c r="Q755" s="12"/>
      <c r="R755" s="12"/>
      <c r="S755" s="12"/>
      <c r="T755" s="12"/>
      <c r="U755" s="5"/>
      <c r="V755" s="5"/>
      <c r="W755" s="5"/>
      <c r="X755" s="5"/>
      <c r="Y755" s="5"/>
      <c r="Z755" s="5"/>
      <c r="AA755" s="69"/>
      <c r="AB755" s="69"/>
      <c r="AC755" s="5"/>
      <c r="AD755" s="88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</row>
    <row r="756" spans="1:256" ht="23.1" customHeight="1" x14ac:dyDescent="0.25">
      <c r="A756" s="5"/>
      <c r="B756" s="288"/>
      <c r="C756" s="12"/>
      <c r="D756" s="12"/>
      <c r="E756" s="12"/>
      <c r="F756" s="12"/>
      <c r="G756" s="12"/>
      <c r="H756" s="12"/>
      <c r="I756" s="12"/>
      <c r="J756" s="73"/>
      <c r="K756" s="73"/>
      <c r="L756" s="73"/>
      <c r="M756" s="73"/>
      <c r="N756" s="12"/>
      <c r="O756" s="12"/>
      <c r="P756" s="12"/>
      <c r="Q756" s="12"/>
      <c r="R756" s="12"/>
      <c r="S756" s="12"/>
      <c r="T756" s="12"/>
      <c r="U756" s="5"/>
      <c r="V756" s="5"/>
      <c r="W756" s="5"/>
      <c r="X756" s="5"/>
      <c r="Y756" s="5"/>
      <c r="Z756" s="5"/>
      <c r="AA756" s="69"/>
      <c r="AB756" s="69"/>
      <c r="AC756" s="5"/>
      <c r="AD756" s="88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</row>
    <row r="757" spans="1:256" ht="23.1" customHeight="1" x14ac:dyDescent="0.25">
      <c r="A757" s="5"/>
      <c r="B757" s="288"/>
      <c r="C757" s="12"/>
      <c r="D757" s="12"/>
      <c r="E757" s="12"/>
      <c r="F757" s="12"/>
      <c r="G757" s="12"/>
      <c r="H757" s="12"/>
      <c r="I757" s="12"/>
      <c r="J757" s="73"/>
      <c r="K757" s="73"/>
      <c r="L757" s="73"/>
      <c r="M757" s="73"/>
      <c r="N757" s="12"/>
      <c r="O757" s="12"/>
      <c r="P757" s="12"/>
      <c r="Q757" s="12"/>
      <c r="R757" s="12"/>
      <c r="S757" s="12"/>
      <c r="T757" s="12"/>
      <c r="U757" s="5"/>
      <c r="V757" s="5"/>
      <c r="W757" s="5"/>
      <c r="X757" s="5"/>
      <c r="Y757" s="5"/>
      <c r="Z757" s="5"/>
      <c r="AA757" s="69"/>
      <c r="AB757" s="69"/>
      <c r="AC757" s="5"/>
      <c r="AD757" s="88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</row>
    <row r="758" spans="1:256" ht="23.1" customHeight="1" x14ac:dyDescent="0.25">
      <c r="A758" s="5"/>
      <c r="B758" s="288"/>
      <c r="C758" s="12"/>
      <c r="D758" s="12"/>
      <c r="E758" s="12"/>
      <c r="F758" s="12"/>
      <c r="G758" s="12"/>
      <c r="H758" s="12"/>
      <c r="I758" s="12"/>
      <c r="J758" s="73"/>
      <c r="K758" s="73"/>
      <c r="L758" s="73"/>
      <c r="M758" s="73"/>
      <c r="N758" s="12"/>
      <c r="O758" s="12"/>
      <c r="P758" s="12"/>
      <c r="Q758" s="12"/>
      <c r="R758" s="12"/>
      <c r="S758" s="12"/>
      <c r="T758" s="12"/>
      <c r="U758" s="5"/>
      <c r="V758" s="5"/>
      <c r="W758" s="5"/>
      <c r="X758" s="5"/>
      <c r="Y758" s="5"/>
      <c r="Z758" s="5"/>
      <c r="AA758" s="69"/>
      <c r="AB758" s="69"/>
      <c r="AC758" s="5"/>
      <c r="AD758" s="88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</row>
    <row r="759" spans="1:256" ht="23.1" customHeight="1" x14ac:dyDescent="0.25">
      <c r="A759" s="5"/>
      <c r="B759" s="288"/>
      <c r="C759" s="12"/>
      <c r="D759" s="12"/>
      <c r="E759" s="12"/>
      <c r="F759" s="12"/>
      <c r="G759" s="12"/>
      <c r="H759" s="12"/>
      <c r="I759" s="12"/>
      <c r="J759" s="73"/>
      <c r="K759" s="73"/>
      <c r="L759" s="73"/>
      <c r="M759" s="73"/>
      <c r="N759" s="12"/>
      <c r="O759" s="12"/>
      <c r="P759" s="12"/>
      <c r="Q759" s="12"/>
      <c r="R759" s="12"/>
      <c r="S759" s="12"/>
      <c r="T759" s="12"/>
      <c r="U759" s="5"/>
      <c r="V759" s="5"/>
      <c r="W759" s="5"/>
      <c r="X759" s="5"/>
      <c r="Y759" s="5"/>
      <c r="Z759" s="5"/>
      <c r="AA759" s="69"/>
      <c r="AB759" s="69"/>
      <c r="AC759" s="5"/>
      <c r="AD759" s="88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</row>
    <row r="760" spans="1:256" ht="23.1" customHeight="1" x14ac:dyDescent="0.25">
      <c r="A760" s="5"/>
      <c r="B760" s="288"/>
      <c r="C760" s="12"/>
      <c r="D760" s="12"/>
      <c r="E760" s="12"/>
      <c r="F760" s="12"/>
      <c r="G760" s="12"/>
      <c r="H760" s="12"/>
      <c r="I760" s="12"/>
      <c r="J760" s="73"/>
      <c r="K760" s="73"/>
      <c r="L760" s="73"/>
      <c r="M760" s="73"/>
      <c r="N760" s="12"/>
      <c r="O760" s="12"/>
      <c r="P760" s="12"/>
      <c r="Q760" s="12"/>
      <c r="R760" s="12"/>
      <c r="S760" s="12"/>
      <c r="T760" s="12"/>
      <c r="U760" s="5"/>
      <c r="V760" s="5"/>
      <c r="W760" s="5"/>
      <c r="X760" s="5"/>
      <c r="Y760" s="5"/>
      <c r="Z760" s="5"/>
      <c r="AA760" s="69"/>
      <c r="AB760" s="69"/>
      <c r="AC760" s="5"/>
      <c r="AD760" s="88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</row>
    <row r="761" spans="1:256" ht="23.1" customHeight="1" x14ac:dyDescent="0.25">
      <c r="A761" s="5"/>
      <c r="B761" s="288"/>
      <c r="C761" s="12"/>
      <c r="D761" s="12"/>
      <c r="E761" s="12"/>
      <c r="F761" s="12"/>
      <c r="G761" s="12"/>
      <c r="H761" s="12"/>
      <c r="I761" s="12"/>
      <c r="J761" s="73"/>
      <c r="K761" s="73"/>
      <c r="L761" s="73"/>
      <c r="M761" s="73"/>
      <c r="N761" s="12"/>
      <c r="O761" s="12"/>
      <c r="P761" s="12"/>
      <c r="Q761" s="12"/>
      <c r="R761" s="12"/>
      <c r="S761" s="12"/>
      <c r="T761" s="12"/>
      <c r="U761" s="5"/>
      <c r="V761" s="5"/>
      <c r="W761" s="5"/>
      <c r="X761" s="5"/>
      <c r="Y761" s="5"/>
      <c r="Z761" s="5"/>
      <c r="AA761" s="69"/>
      <c r="AB761" s="69"/>
      <c r="AC761" s="5"/>
      <c r="AD761" s="88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</row>
    <row r="762" spans="1:256" ht="23.1" customHeight="1" x14ac:dyDescent="0.25">
      <c r="A762" s="5"/>
      <c r="B762" s="288"/>
      <c r="C762" s="12"/>
      <c r="D762" s="12"/>
      <c r="E762" s="12"/>
      <c r="F762" s="12"/>
      <c r="G762" s="12"/>
      <c r="H762" s="12"/>
      <c r="I762" s="12"/>
      <c r="J762" s="73"/>
      <c r="K762" s="73"/>
      <c r="L762" s="73"/>
      <c r="M762" s="73"/>
      <c r="N762" s="12"/>
      <c r="O762" s="12"/>
      <c r="P762" s="12"/>
      <c r="Q762" s="12"/>
      <c r="R762" s="12"/>
      <c r="S762" s="12"/>
      <c r="T762" s="12"/>
      <c r="U762" s="5"/>
      <c r="V762" s="5"/>
      <c r="W762" s="5"/>
      <c r="X762" s="5"/>
      <c r="Y762" s="5"/>
      <c r="Z762" s="5"/>
      <c r="AA762" s="69"/>
      <c r="AB762" s="69"/>
      <c r="AC762" s="5"/>
      <c r="AD762" s="88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</row>
    <row r="763" spans="1:256" ht="23.1" customHeight="1" x14ac:dyDescent="0.25">
      <c r="A763" s="5"/>
      <c r="B763" s="288"/>
      <c r="C763" s="12"/>
      <c r="D763" s="12"/>
      <c r="E763" s="12"/>
      <c r="F763" s="12"/>
      <c r="G763" s="12"/>
      <c r="H763" s="12"/>
      <c r="I763" s="12"/>
      <c r="J763" s="73"/>
      <c r="K763" s="73"/>
      <c r="L763" s="73"/>
      <c r="M763" s="73"/>
      <c r="N763" s="12"/>
      <c r="O763" s="12"/>
      <c r="P763" s="12"/>
      <c r="Q763" s="12"/>
      <c r="R763" s="12"/>
      <c r="S763" s="12"/>
      <c r="T763" s="12"/>
      <c r="U763" s="5"/>
      <c r="V763" s="5"/>
      <c r="W763" s="5"/>
      <c r="X763" s="5"/>
      <c r="Y763" s="5"/>
      <c r="Z763" s="5"/>
      <c r="AA763" s="69"/>
      <c r="AB763" s="69"/>
      <c r="AC763" s="5"/>
      <c r="AD763" s="88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</row>
    <row r="764" spans="1:256" ht="23.1" customHeight="1" x14ac:dyDescent="0.25">
      <c r="A764" s="5"/>
      <c r="B764" s="288"/>
      <c r="C764" s="12"/>
      <c r="D764" s="12"/>
      <c r="E764" s="12"/>
      <c r="F764" s="12"/>
      <c r="G764" s="12"/>
      <c r="H764" s="12"/>
      <c r="I764" s="12"/>
      <c r="J764" s="73"/>
      <c r="K764" s="73"/>
      <c r="L764" s="73"/>
      <c r="M764" s="73"/>
      <c r="N764" s="12"/>
      <c r="O764" s="12"/>
      <c r="P764" s="12"/>
      <c r="Q764" s="12"/>
      <c r="R764" s="12"/>
      <c r="S764" s="12"/>
      <c r="T764" s="12"/>
      <c r="U764" s="5"/>
      <c r="V764" s="5"/>
      <c r="W764" s="5"/>
      <c r="X764" s="5"/>
      <c r="Y764" s="5"/>
      <c r="Z764" s="5"/>
      <c r="AA764" s="69"/>
      <c r="AB764" s="69"/>
      <c r="AC764" s="5"/>
      <c r="AD764" s="88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</row>
    <row r="765" spans="1:256" ht="23.1" customHeight="1" x14ac:dyDescent="0.25">
      <c r="A765" s="5"/>
      <c r="B765" s="288"/>
      <c r="C765" s="12"/>
      <c r="D765" s="12"/>
      <c r="E765" s="12"/>
      <c r="F765" s="12"/>
      <c r="G765" s="12"/>
      <c r="H765" s="12"/>
      <c r="I765" s="12"/>
      <c r="J765" s="73"/>
      <c r="K765" s="73"/>
      <c r="L765" s="73"/>
      <c r="M765" s="73"/>
      <c r="N765" s="12"/>
      <c r="O765" s="12"/>
      <c r="P765" s="12"/>
      <c r="Q765" s="12"/>
      <c r="R765" s="12"/>
      <c r="S765" s="12"/>
      <c r="T765" s="12"/>
      <c r="U765" s="5"/>
      <c r="V765" s="5"/>
      <c r="W765" s="5"/>
      <c r="X765" s="5"/>
      <c r="Y765" s="5"/>
      <c r="Z765" s="5"/>
      <c r="AA765" s="69"/>
      <c r="AB765" s="69"/>
      <c r="AC765" s="5"/>
      <c r="AD765" s="88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</row>
    <row r="766" spans="1:256" ht="23.1" customHeight="1" x14ac:dyDescent="0.25">
      <c r="A766" s="5"/>
      <c r="B766" s="288"/>
      <c r="C766" s="12"/>
      <c r="D766" s="12"/>
      <c r="E766" s="12"/>
      <c r="F766" s="12"/>
      <c r="G766" s="12"/>
      <c r="H766" s="12"/>
      <c r="I766" s="12"/>
      <c r="J766" s="73"/>
      <c r="K766" s="73"/>
      <c r="L766" s="73"/>
      <c r="M766" s="73"/>
      <c r="N766" s="12"/>
      <c r="O766" s="12"/>
      <c r="P766" s="12"/>
      <c r="Q766" s="12"/>
      <c r="R766" s="12"/>
      <c r="S766" s="12"/>
      <c r="T766" s="12"/>
      <c r="U766" s="5"/>
      <c r="V766" s="5"/>
      <c r="W766" s="5"/>
      <c r="X766" s="5"/>
      <c r="Y766" s="5"/>
      <c r="Z766" s="5"/>
      <c r="AA766" s="69"/>
      <c r="AB766" s="69"/>
      <c r="AC766" s="5"/>
      <c r="AD766" s="88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</row>
    <row r="767" spans="1:256" ht="23.1" customHeight="1" x14ac:dyDescent="0.25">
      <c r="A767" s="5"/>
      <c r="B767" s="288"/>
      <c r="C767" s="12"/>
      <c r="D767" s="12"/>
      <c r="E767" s="12"/>
      <c r="F767" s="12"/>
      <c r="G767" s="12"/>
      <c r="H767" s="12"/>
      <c r="I767" s="12"/>
      <c r="J767" s="73"/>
      <c r="K767" s="73"/>
      <c r="L767" s="73"/>
      <c r="M767" s="73"/>
      <c r="N767" s="12"/>
      <c r="O767" s="12"/>
      <c r="P767" s="12"/>
      <c r="Q767" s="12"/>
      <c r="R767" s="12"/>
      <c r="S767" s="12"/>
      <c r="T767" s="12"/>
      <c r="U767" s="5"/>
      <c r="V767" s="5"/>
      <c r="W767" s="5"/>
      <c r="X767" s="5"/>
      <c r="Y767" s="5"/>
      <c r="Z767" s="5"/>
      <c r="AA767" s="69"/>
      <c r="AB767" s="69"/>
      <c r="AC767" s="5"/>
      <c r="AD767" s="88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</row>
    <row r="768" spans="1:256" ht="23.1" customHeight="1" x14ac:dyDescent="0.25">
      <c r="A768" s="5"/>
      <c r="B768" s="288"/>
      <c r="C768" s="12"/>
      <c r="D768" s="12"/>
      <c r="E768" s="12"/>
      <c r="F768" s="12"/>
      <c r="G768" s="12"/>
      <c r="H768" s="12"/>
      <c r="I768" s="12"/>
      <c r="J768" s="73"/>
      <c r="K768" s="73"/>
      <c r="L768" s="73"/>
      <c r="M768" s="73"/>
      <c r="N768" s="12"/>
      <c r="O768" s="12"/>
      <c r="P768" s="12"/>
      <c r="Q768" s="12"/>
      <c r="R768" s="12"/>
      <c r="S768" s="12"/>
      <c r="T768" s="12"/>
      <c r="U768" s="5"/>
      <c r="V768" s="5"/>
      <c r="W768" s="5"/>
      <c r="X768" s="5"/>
      <c r="Y768" s="5"/>
      <c r="Z768" s="5"/>
      <c r="AA768" s="69"/>
      <c r="AB768" s="69"/>
      <c r="AC768" s="5"/>
      <c r="AD768" s="88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</row>
    <row r="769" spans="1:256" ht="23.1" customHeight="1" x14ac:dyDescent="0.25">
      <c r="A769" s="5"/>
      <c r="B769" s="288"/>
      <c r="C769" s="12"/>
      <c r="D769" s="12"/>
      <c r="E769" s="12"/>
      <c r="F769" s="12"/>
      <c r="G769" s="12"/>
      <c r="H769" s="12"/>
      <c r="I769" s="12"/>
      <c r="J769" s="73"/>
      <c r="K769" s="73"/>
      <c r="L769" s="73"/>
      <c r="M769" s="73"/>
      <c r="N769" s="12"/>
      <c r="O769" s="12"/>
      <c r="P769" s="12"/>
      <c r="Q769" s="12"/>
      <c r="R769" s="12"/>
      <c r="S769" s="12"/>
      <c r="T769" s="12"/>
      <c r="U769" s="5"/>
      <c r="V769" s="5"/>
      <c r="W769" s="5"/>
      <c r="X769" s="5"/>
      <c r="Y769" s="5"/>
      <c r="Z769" s="5"/>
      <c r="AA769" s="69"/>
      <c r="AB769" s="69"/>
      <c r="AC769" s="5"/>
      <c r="AD769" s="88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</row>
    <row r="770" spans="1:256" ht="23.1" customHeight="1" x14ac:dyDescent="0.25">
      <c r="A770" s="5"/>
      <c r="B770" s="288"/>
      <c r="C770" s="12"/>
      <c r="D770" s="12"/>
      <c r="E770" s="12"/>
      <c r="F770" s="12"/>
      <c r="G770" s="12"/>
      <c r="H770" s="12"/>
      <c r="I770" s="12"/>
      <c r="J770" s="73"/>
      <c r="K770" s="73"/>
      <c r="L770" s="73"/>
      <c r="M770" s="73"/>
      <c r="N770" s="12"/>
      <c r="O770" s="12"/>
      <c r="P770" s="12"/>
      <c r="Q770" s="12"/>
      <c r="R770" s="12"/>
      <c r="S770" s="12"/>
      <c r="T770" s="12"/>
      <c r="U770" s="5"/>
      <c r="V770" s="5"/>
      <c r="W770" s="5"/>
      <c r="X770" s="5"/>
      <c r="Y770" s="5"/>
      <c r="Z770" s="5"/>
      <c r="AA770" s="69"/>
      <c r="AB770" s="69"/>
      <c r="AC770" s="5"/>
      <c r="AD770" s="88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</row>
    <row r="771" spans="1:256" ht="23.1" customHeight="1" x14ac:dyDescent="0.25">
      <c r="A771" s="5"/>
      <c r="B771" s="288"/>
      <c r="C771" s="12"/>
      <c r="D771" s="12"/>
      <c r="E771" s="12"/>
      <c r="F771" s="12"/>
      <c r="G771" s="12"/>
      <c r="H771" s="12"/>
      <c r="I771" s="12"/>
      <c r="J771" s="73"/>
      <c r="K771" s="73"/>
      <c r="L771" s="73"/>
      <c r="M771" s="73"/>
      <c r="N771" s="12"/>
      <c r="O771" s="12"/>
      <c r="P771" s="12"/>
      <c r="Q771" s="12"/>
      <c r="R771" s="12"/>
      <c r="S771" s="12"/>
      <c r="T771" s="12"/>
      <c r="U771" s="5"/>
      <c r="V771" s="5"/>
      <c r="W771" s="5"/>
      <c r="X771" s="5"/>
      <c r="Y771" s="5"/>
      <c r="Z771" s="5"/>
      <c r="AA771" s="69"/>
      <c r="AB771" s="69"/>
      <c r="AC771" s="5"/>
      <c r="AD771" s="88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</row>
    <row r="772" spans="1:256" ht="23.1" customHeight="1" x14ac:dyDescent="0.25">
      <c r="A772" s="5"/>
      <c r="B772" s="288"/>
      <c r="C772" s="12"/>
      <c r="D772" s="12"/>
      <c r="E772" s="12"/>
      <c r="F772" s="12"/>
      <c r="G772" s="12"/>
      <c r="H772" s="12"/>
      <c r="I772" s="12"/>
      <c r="J772" s="73"/>
      <c r="K772" s="73"/>
      <c r="L772" s="73"/>
      <c r="M772" s="73"/>
      <c r="N772" s="12"/>
      <c r="O772" s="12"/>
      <c r="P772" s="12"/>
      <c r="Q772" s="12"/>
      <c r="R772" s="12"/>
      <c r="S772" s="12"/>
      <c r="T772" s="12"/>
      <c r="U772" s="5"/>
      <c r="V772" s="5"/>
      <c r="W772" s="5"/>
      <c r="X772" s="5"/>
      <c r="Y772" s="5"/>
      <c r="Z772" s="5"/>
      <c r="AA772" s="69"/>
      <c r="AB772" s="69"/>
      <c r="AC772" s="5"/>
      <c r="AD772" s="88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</row>
    <row r="773" spans="1:256" ht="23.1" customHeight="1" x14ac:dyDescent="0.25">
      <c r="A773" s="5"/>
      <c r="B773" s="288"/>
      <c r="C773" s="12"/>
      <c r="D773" s="12"/>
      <c r="E773" s="12"/>
      <c r="F773" s="12"/>
      <c r="G773" s="12"/>
      <c r="H773" s="12"/>
      <c r="I773" s="12"/>
      <c r="J773" s="73"/>
      <c r="K773" s="73"/>
      <c r="L773" s="73"/>
      <c r="M773" s="73"/>
      <c r="N773" s="12"/>
      <c r="O773" s="12"/>
      <c r="P773" s="12"/>
      <c r="Q773" s="12"/>
      <c r="R773" s="12"/>
      <c r="S773" s="12"/>
      <c r="T773" s="12"/>
      <c r="U773" s="5"/>
      <c r="V773" s="5"/>
      <c r="W773" s="5"/>
      <c r="X773" s="5"/>
      <c r="Y773" s="5"/>
      <c r="Z773" s="5"/>
      <c r="AA773" s="69"/>
      <c r="AB773" s="69"/>
      <c r="AC773" s="5"/>
      <c r="AD773" s="88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</row>
    <row r="774" spans="1:256" ht="23.1" customHeight="1" x14ac:dyDescent="0.25">
      <c r="A774" s="5"/>
      <c r="B774" s="288"/>
      <c r="C774" s="12"/>
      <c r="D774" s="12"/>
      <c r="E774" s="12"/>
      <c r="F774" s="12"/>
      <c r="G774" s="12"/>
      <c r="H774" s="12"/>
      <c r="I774" s="12"/>
      <c r="J774" s="73"/>
      <c r="K774" s="73"/>
      <c r="L774" s="73"/>
      <c r="M774" s="73"/>
      <c r="N774" s="12"/>
      <c r="O774" s="12"/>
      <c r="P774" s="12"/>
      <c r="Q774" s="12"/>
      <c r="R774" s="12"/>
      <c r="S774" s="12"/>
      <c r="T774" s="12"/>
      <c r="U774" s="5"/>
      <c r="V774" s="5"/>
      <c r="W774" s="5"/>
      <c r="X774" s="5"/>
      <c r="Y774" s="5"/>
      <c r="Z774" s="5"/>
      <c r="AA774" s="69"/>
      <c r="AB774" s="69"/>
      <c r="AC774" s="5"/>
      <c r="AD774" s="88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</row>
    <row r="775" spans="1:256" ht="23.1" customHeight="1" x14ac:dyDescent="0.25">
      <c r="A775" s="5"/>
      <c r="B775" s="288"/>
      <c r="C775" s="12"/>
      <c r="D775" s="12"/>
      <c r="E775" s="12"/>
      <c r="F775" s="12"/>
      <c r="G775" s="12"/>
      <c r="H775" s="12"/>
      <c r="I775" s="12"/>
      <c r="J775" s="73"/>
      <c r="K775" s="73"/>
      <c r="L775" s="73"/>
      <c r="M775" s="73"/>
      <c r="N775" s="12"/>
      <c r="O775" s="12"/>
      <c r="P775" s="12"/>
      <c r="Q775" s="12"/>
      <c r="R775" s="12"/>
      <c r="S775" s="12"/>
      <c r="T775" s="12"/>
      <c r="U775" s="5"/>
      <c r="V775" s="5"/>
      <c r="W775" s="5"/>
      <c r="X775" s="5"/>
      <c r="Y775" s="5"/>
      <c r="Z775" s="5"/>
      <c r="AA775" s="69"/>
      <c r="AB775" s="69"/>
      <c r="AC775" s="5"/>
      <c r="AD775" s="88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</row>
    <row r="776" spans="1:256" ht="23.1" customHeight="1" x14ac:dyDescent="0.25">
      <c r="A776" s="5"/>
      <c r="B776" s="288"/>
      <c r="C776" s="12"/>
      <c r="D776" s="12"/>
      <c r="E776" s="12"/>
      <c r="F776" s="12"/>
      <c r="G776" s="12"/>
      <c r="H776" s="12"/>
      <c r="I776" s="12"/>
      <c r="J776" s="73"/>
      <c r="K776" s="73"/>
      <c r="L776" s="73"/>
      <c r="M776" s="73"/>
      <c r="N776" s="12"/>
      <c r="O776" s="12"/>
      <c r="P776" s="12"/>
      <c r="Q776" s="12"/>
      <c r="R776" s="12"/>
      <c r="S776" s="12"/>
      <c r="T776" s="12"/>
      <c r="U776" s="5"/>
      <c r="V776" s="5"/>
      <c r="W776" s="5"/>
      <c r="X776" s="5"/>
      <c r="Y776" s="5"/>
      <c r="Z776" s="5"/>
      <c r="AA776" s="69"/>
      <c r="AB776" s="69"/>
      <c r="AC776" s="5"/>
      <c r="AD776" s="88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</row>
    <row r="777" spans="1:256" ht="23.1" customHeight="1" x14ac:dyDescent="0.25">
      <c r="A777" s="5"/>
      <c r="B777" s="288"/>
      <c r="C777" s="12"/>
      <c r="D777" s="12"/>
      <c r="E777" s="12"/>
      <c r="F777" s="12"/>
      <c r="G777" s="12"/>
      <c r="H777" s="12"/>
      <c r="I777" s="12"/>
      <c r="J777" s="73"/>
      <c r="K777" s="73"/>
      <c r="L777" s="73"/>
      <c r="M777" s="73"/>
      <c r="N777" s="12"/>
      <c r="O777" s="12"/>
      <c r="P777" s="12"/>
      <c r="Q777" s="12"/>
      <c r="R777" s="12"/>
      <c r="S777" s="12"/>
      <c r="T777" s="12"/>
      <c r="U777" s="5"/>
      <c r="V777" s="5"/>
      <c r="W777" s="5"/>
      <c r="X777" s="5"/>
      <c r="Y777" s="5"/>
      <c r="Z777" s="5"/>
      <c r="AA777" s="69"/>
      <c r="AB777" s="69"/>
      <c r="AC777" s="5"/>
      <c r="AD777" s="88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</row>
    <row r="778" spans="1:256" ht="23.1" customHeight="1" x14ac:dyDescent="0.25">
      <c r="A778" s="5"/>
      <c r="B778" s="288"/>
      <c r="C778" s="12"/>
      <c r="D778" s="12"/>
      <c r="E778" s="12"/>
      <c r="F778" s="12"/>
      <c r="G778" s="12"/>
      <c r="H778" s="12"/>
      <c r="I778" s="12"/>
      <c r="J778" s="73"/>
      <c r="K778" s="73"/>
      <c r="L778" s="73"/>
      <c r="M778" s="73"/>
      <c r="N778" s="12"/>
      <c r="O778" s="12"/>
      <c r="P778" s="12"/>
      <c r="Q778" s="12"/>
      <c r="R778" s="12"/>
      <c r="S778" s="12"/>
      <c r="T778" s="12"/>
      <c r="U778" s="5"/>
      <c r="V778" s="5"/>
      <c r="W778" s="5"/>
      <c r="X778" s="5"/>
      <c r="Y778" s="5"/>
      <c r="Z778" s="5"/>
      <c r="AA778" s="69"/>
      <c r="AB778" s="69"/>
      <c r="AC778" s="5"/>
      <c r="AD778" s="88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</row>
    <row r="779" spans="1:256" ht="23.1" customHeight="1" x14ac:dyDescent="0.25">
      <c r="A779" s="5"/>
      <c r="B779" s="288"/>
      <c r="C779" s="12"/>
      <c r="D779" s="12"/>
      <c r="E779" s="12"/>
      <c r="F779" s="12"/>
      <c r="G779" s="12"/>
      <c r="H779" s="12"/>
      <c r="I779" s="12"/>
      <c r="J779" s="73"/>
      <c r="K779" s="73"/>
      <c r="L779" s="73"/>
      <c r="M779" s="73"/>
      <c r="N779" s="12"/>
      <c r="O779" s="12"/>
      <c r="P779" s="12"/>
      <c r="Q779" s="12"/>
      <c r="R779" s="12"/>
      <c r="S779" s="12"/>
      <c r="T779" s="12"/>
      <c r="U779" s="5"/>
      <c r="V779" s="5"/>
      <c r="W779" s="5"/>
      <c r="X779" s="5"/>
      <c r="Y779" s="5"/>
      <c r="Z779" s="5"/>
      <c r="AA779" s="69"/>
      <c r="AB779" s="69"/>
      <c r="AC779" s="5"/>
      <c r="AD779" s="88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</row>
    <row r="780" spans="1:256" ht="23.1" customHeight="1" x14ac:dyDescent="0.25">
      <c r="A780" s="5"/>
      <c r="B780" s="288"/>
      <c r="C780" s="12"/>
      <c r="D780" s="12"/>
      <c r="E780" s="12"/>
      <c r="F780" s="12"/>
      <c r="G780" s="12"/>
      <c r="H780" s="12"/>
      <c r="I780" s="12"/>
      <c r="J780" s="73"/>
      <c r="K780" s="73"/>
      <c r="L780" s="73"/>
      <c r="M780" s="73"/>
      <c r="N780" s="12"/>
      <c r="O780" s="12"/>
      <c r="P780" s="12"/>
      <c r="Q780" s="12"/>
      <c r="R780" s="12"/>
      <c r="S780" s="12"/>
      <c r="T780" s="12"/>
      <c r="U780" s="5"/>
      <c r="V780" s="5"/>
      <c r="W780" s="5"/>
      <c r="X780" s="5"/>
      <c r="Y780" s="5"/>
      <c r="Z780" s="5"/>
      <c r="AA780" s="69"/>
      <c r="AB780" s="69"/>
      <c r="AC780" s="5"/>
      <c r="AD780" s="88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</row>
    <row r="781" spans="1:256" ht="23.1" customHeight="1" x14ac:dyDescent="0.25">
      <c r="A781" s="5"/>
      <c r="B781" s="288"/>
      <c r="C781" s="12"/>
      <c r="D781" s="12"/>
      <c r="E781" s="12"/>
      <c r="F781" s="12"/>
      <c r="G781" s="12"/>
      <c r="H781" s="12"/>
      <c r="I781" s="12"/>
      <c r="J781" s="73"/>
      <c r="K781" s="73"/>
      <c r="L781" s="73"/>
      <c r="M781" s="73"/>
      <c r="N781" s="12"/>
      <c r="O781" s="12"/>
      <c r="P781" s="12"/>
      <c r="Q781" s="12"/>
      <c r="R781" s="12"/>
      <c r="S781" s="12"/>
      <c r="T781" s="12"/>
      <c r="U781" s="5"/>
      <c r="V781" s="5"/>
      <c r="W781" s="5"/>
      <c r="X781" s="5"/>
      <c r="Y781" s="5"/>
      <c r="Z781" s="5"/>
      <c r="AA781" s="69"/>
      <c r="AB781" s="69"/>
      <c r="AC781" s="5"/>
      <c r="AD781" s="88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</row>
    <row r="782" spans="1:256" ht="23.1" customHeight="1" x14ac:dyDescent="0.25">
      <c r="A782" s="5"/>
      <c r="B782" s="288"/>
      <c r="C782" s="12"/>
      <c r="D782" s="12"/>
      <c r="E782" s="12"/>
      <c r="F782" s="12"/>
      <c r="G782" s="12"/>
      <c r="H782" s="12"/>
      <c r="I782" s="12"/>
      <c r="J782" s="73"/>
      <c r="K782" s="73"/>
      <c r="L782" s="73"/>
      <c r="M782" s="73"/>
      <c r="N782" s="12"/>
      <c r="O782" s="12"/>
      <c r="P782" s="12"/>
      <c r="Q782" s="12"/>
      <c r="R782" s="12"/>
      <c r="S782" s="12"/>
      <c r="T782" s="12"/>
      <c r="U782" s="5"/>
      <c r="V782" s="5"/>
      <c r="W782" s="5"/>
      <c r="X782" s="5"/>
      <c r="Y782" s="5"/>
      <c r="Z782" s="5"/>
      <c r="AA782" s="69"/>
      <c r="AB782" s="69"/>
      <c r="AC782" s="5"/>
      <c r="AD782" s="88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</row>
    <row r="783" spans="1:256" ht="23.1" customHeight="1" x14ac:dyDescent="0.25">
      <c r="A783" s="5"/>
      <c r="B783" s="288"/>
      <c r="C783" s="12"/>
      <c r="D783" s="12"/>
      <c r="E783" s="12"/>
      <c r="F783" s="12"/>
      <c r="G783" s="12"/>
      <c r="H783" s="12"/>
      <c r="I783" s="12"/>
      <c r="J783" s="73"/>
      <c r="K783" s="73"/>
      <c r="L783" s="73"/>
      <c r="M783" s="73"/>
      <c r="N783" s="12"/>
      <c r="O783" s="12"/>
      <c r="P783" s="12"/>
      <c r="Q783" s="12"/>
      <c r="R783" s="12"/>
      <c r="S783" s="12"/>
      <c r="T783" s="12"/>
      <c r="U783" s="5"/>
      <c r="V783" s="5"/>
      <c r="W783" s="5"/>
      <c r="X783" s="5"/>
      <c r="Y783" s="5"/>
      <c r="Z783" s="5"/>
      <c r="AA783" s="69"/>
      <c r="AB783" s="69"/>
      <c r="AC783" s="5"/>
      <c r="AD783" s="88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</row>
    <row r="784" spans="1:256" ht="23.1" customHeight="1" x14ac:dyDescent="0.25">
      <c r="A784" s="5"/>
      <c r="B784" s="288"/>
      <c r="C784" s="12"/>
      <c r="D784" s="12"/>
      <c r="E784" s="12"/>
      <c r="F784" s="12"/>
      <c r="G784" s="12"/>
      <c r="H784" s="12"/>
      <c r="I784" s="12"/>
      <c r="J784" s="73"/>
      <c r="K784" s="73"/>
      <c r="L784" s="73"/>
      <c r="M784" s="73"/>
      <c r="N784" s="12"/>
      <c r="O784" s="12"/>
      <c r="P784" s="12"/>
      <c r="Q784" s="12"/>
      <c r="R784" s="12"/>
      <c r="S784" s="12"/>
      <c r="T784" s="12"/>
      <c r="U784" s="5"/>
      <c r="V784" s="5"/>
      <c r="W784" s="5"/>
      <c r="X784" s="5"/>
      <c r="Y784" s="5"/>
      <c r="Z784" s="5"/>
      <c r="AA784" s="69"/>
      <c r="AB784" s="69"/>
      <c r="AC784" s="5"/>
      <c r="AD784" s="88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</row>
    <row r="785" spans="1:256" ht="23.1" customHeight="1" x14ac:dyDescent="0.25">
      <c r="A785" s="5"/>
      <c r="B785" s="288"/>
      <c r="C785" s="12"/>
      <c r="D785" s="12"/>
      <c r="E785" s="12"/>
      <c r="F785" s="12"/>
      <c r="G785" s="12"/>
      <c r="H785" s="12"/>
      <c r="I785" s="12"/>
      <c r="J785" s="73"/>
      <c r="K785" s="73"/>
      <c r="L785" s="73"/>
      <c r="M785" s="73"/>
      <c r="N785" s="12"/>
      <c r="O785" s="12"/>
      <c r="P785" s="12"/>
      <c r="Q785" s="12"/>
      <c r="R785" s="12"/>
      <c r="S785" s="12"/>
      <c r="T785" s="12"/>
      <c r="U785" s="5"/>
      <c r="V785" s="5"/>
      <c r="W785" s="5"/>
      <c r="X785" s="5"/>
      <c r="Y785" s="5"/>
      <c r="Z785" s="5"/>
      <c r="AA785" s="69"/>
      <c r="AB785" s="69"/>
      <c r="AC785" s="5"/>
      <c r="AD785" s="88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</row>
    <row r="786" spans="1:256" ht="23.1" customHeight="1" x14ac:dyDescent="0.25">
      <c r="A786" s="5"/>
      <c r="B786" s="288"/>
      <c r="C786" s="12"/>
      <c r="D786" s="12"/>
      <c r="E786" s="12"/>
      <c r="F786" s="12"/>
      <c r="G786" s="12"/>
      <c r="H786" s="12"/>
      <c r="I786" s="12"/>
      <c r="J786" s="73"/>
      <c r="K786" s="73"/>
      <c r="L786" s="73"/>
      <c r="M786" s="73"/>
      <c r="N786" s="12"/>
      <c r="O786" s="12"/>
      <c r="P786" s="12"/>
      <c r="Q786" s="12"/>
      <c r="R786" s="12"/>
      <c r="S786" s="12"/>
      <c r="T786" s="12"/>
      <c r="U786" s="5"/>
      <c r="V786" s="5"/>
      <c r="W786" s="5"/>
      <c r="X786" s="5"/>
      <c r="Y786" s="5"/>
      <c r="Z786" s="5"/>
      <c r="AA786" s="69"/>
      <c r="AB786" s="69"/>
      <c r="AC786" s="5"/>
      <c r="AD786" s="88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</row>
    <row r="787" spans="1:256" ht="23.1" customHeight="1" x14ac:dyDescent="0.25">
      <c r="A787" s="5"/>
      <c r="B787" s="288"/>
      <c r="C787" s="12"/>
      <c r="D787" s="12"/>
      <c r="E787" s="12"/>
      <c r="F787" s="12"/>
      <c r="G787" s="12"/>
      <c r="H787" s="12"/>
      <c r="I787" s="12"/>
      <c r="J787" s="73"/>
      <c r="K787" s="73"/>
      <c r="L787" s="73"/>
      <c r="M787" s="73"/>
      <c r="N787" s="12"/>
      <c r="O787" s="12"/>
      <c r="P787" s="12"/>
      <c r="Q787" s="12"/>
      <c r="R787" s="12"/>
      <c r="S787" s="12"/>
      <c r="T787" s="12"/>
      <c r="U787" s="5"/>
      <c r="V787" s="5"/>
      <c r="W787" s="5"/>
      <c r="X787" s="5"/>
      <c r="Y787" s="5"/>
      <c r="Z787" s="5"/>
      <c r="AA787" s="69"/>
      <c r="AB787" s="69"/>
      <c r="AC787" s="5"/>
      <c r="AD787" s="88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</row>
    <row r="788" spans="1:256" ht="23.1" customHeight="1" x14ac:dyDescent="0.25">
      <c r="A788" s="5"/>
      <c r="B788" s="288"/>
      <c r="C788" s="12"/>
      <c r="D788" s="12"/>
      <c r="E788" s="12"/>
      <c r="F788" s="12"/>
      <c r="G788" s="12"/>
      <c r="H788" s="12"/>
      <c r="I788" s="12"/>
      <c r="J788" s="73"/>
      <c r="K788" s="73"/>
      <c r="L788" s="73"/>
      <c r="M788" s="73"/>
      <c r="N788" s="12"/>
      <c r="O788" s="12"/>
      <c r="P788" s="12"/>
      <c r="Q788" s="12"/>
      <c r="R788" s="12"/>
      <c r="S788" s="12"/>
      <c r="T788" s="12"/>
      <c r="U788" s="5"/>
      <c r="V788" s="5"/>
      <c r="W788" s="5"/>
      <c r="X788" s="5"/>
      <c r="Y788" s="5"/>
      <c r="Z788" s="5"/>
      <c r="AA788" s="69"/>
      <c r="AB788" s="69"/>
      <c r="AC788" s="5"/>
      <c r="AD788" s="88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</row>
    <row r="789" spans="1:256" ht="23.1" customHeight="1" x14ac:dyDescent="0.25">
      <c r="A789" s="5"/>
      <c r="B789" s="288"/>
      <c r="C789" s="12"/>
      <c r="D789" s="12"/>
      <c r="E789" s="12"/>
      <c r="F789" s="12"/>
      <c r="G789" s="12"/>
      <c r="H789" s="12"/>
      <c r="I789" s="12"/>
      <c r="J789" s="73"/>
      <c r="K789" s="73"/>
      <c r="L789" s="73"/>
      <c r="M789" s="73"/>
      <c r="N789" s="12"/>
      <c r="O789" s="12"/>
      <c r="P789" s="12"/>
      <c r="Q789" s="12"/>
      <c r="R789" s="12"/>
      <c r="S789" s="12"/>
      <c r="T789" s="12"/>
      <c r="U789" s="5"/>
      <c r="V789" s="5"/>
      <c r="W789" s="5"/>
      <c r="X789" s="5"/>
      <c r="Y789" s="5"/>
      <c r="Z789" s="5"/>
      <c r="AA789" s="69"/>
      <c r="AB789" s="69"/>
      <c r="AC789" s="5"/>
      <c r="AD789" s="88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</row>
    <row r="790" spans="1:256" ht="23.1" customHeight="1" x14ac:dyDescent="0.25">
      <c r="A790" s="5"/>
      <c r="B790" s="288"/>
      <c r="C790" s="12"/>
      <c r="D790" s="12"/>
      <c r="E790" s="12"/>
      <c r="F790" s="12"/>
      <c r="G790" s="12"/>
      <c r="H790" s="12"/>
      <c r="I790" s="12"/>
      <c r="J790" s="73"/>
      <c r="K790" s="73"/>
      <c r="L790" s="73"/>
      <c r="M790" s="73"/>
      <c r="N790" s="12"/>
      <c r="O790" s="12"/>
      <c r="P790" s="12"/>
      <c r="Q790" s="12"/>
      <c r="R790" s="12"/>
      <c r="S790" s="12"/>
      <c r="T790" s="12"/>
      <c r="U790" s="5"/>
      <c r="V790" s="5"/>
      <c r="W790" s="5"/>
      <c r="X790" s="5"/>
      <c r="Y790" s="5"/>
      <c r="Z790" s="5"/>
      <c r="AA790" s="69"/>
      <c r="AB790" s="69"/>
      <c r="AC790" s="5"/>
      <c r="AD790" s="88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</row>
    <row r="791" spans="1:256" ht="23.1" customHeight="1" x14ac:dyDescent="0.25">
      <c r="A791" s="5"/>
      <c r="B791" s="288"/>
      <c r="C791" s="12"/>
      <c r="D791" s="12"/>
      <c r="E791" s="12"/>
      <c r="F791" s="12"/>
      <c r="G791" s="12"/>
      <c r="H791" s="12"/>
      <c r="I791" s="12"/>
      <c r="J791" s="73"/>
      <c r="K791" s="73"/>
      <c r="L791" s="73"/>
      <c r="M791" s="73"/>
      <c r="N791" s="12"/>
      <c r="O791" s="12"/>
      <c r="P791" s="12"/>
      <c r="Q791" s="12"/>
      <c r="R791" s="12"/>
      <c r="S791" s="12"/>
      <c r="T791" s="12"/>
      <c r="U791" s="5"/>
      <c r="V791" s="5"/>
      <c r="W791" s="5"/>
      <c r="X791" s="5"/>
      <c r="Y791" s="5"/>
      <c r="Z791" s="5"/>
      <c r="AA791" s="69"/>
      <c r="AB791" s="69"/>
      <c r="AC791" s="5"/>
      <c r="AD791" s="88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</row>
    <row r="792" spans="1:256" ht="23.1" customHeight="1" x14ac:dyDescent="0.25">
      <c r="A792" s="5"/>
      <c r="B792" s="288"/>
      <c r="C792" s="12"/>
      <c r="D792" s="12"/>
      <c r="E792" s="12"/>
      <c r="F792" s="12"/>
      <c r="G792" s="12"/>
      <c r="H792" s="12"/>
      <c r="I792" s="12"/>
      <c r="J792" s="73"/>
      <c r="K792" s="73"/>
      <c r="L792" s="73"/>
      <c r="M792" s="73"/>
      <c r="N792" s="12"/>
      <c r="O792" s="12"/>
      <c r="P792" s="12"/>
      <c r="Q792" s="12"/>
      <c r="R792" s="12"/>
      <c r="S792" s="12"/>
      <c r="T792" s="12"/>
      <c r="U792" s="5"/>
      <c r="V792" s="5"/>
      <c r="W792" s="5"/>
      <c r="X792" s="5"/>
      <c r="Y792" s="5"/>
      <c r="Z792" s="5"/>
      <c r="AA792" s="69"/>
      <c r="AB792" s="69"/>
      <c r="AC792" s="5"/>
      <c r="AD792" s="88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</row>
    <row r="793" spans="1:256" ht="23.1" customHeight="1" x14ac:dyDescent="0.25">
      <c r="A793" s="5"/>
      <c r="B793" s="288"/>
      <c r="C793" s="12"/>
      <c r="D793" s="12"/>
      <c r="E793" s="12"/>
      <c r="F793" s="12"/>
      <c r="G793" s="12"/>
      <c r="H793" s="12"/>
      <c r="I793" s="12"/>
      <c r="J793" s="73"/>
      <c r="K793" s="73"/>
      <c r="L793" s="73"/>
      <c r="M793" s="73"/>
      <c r="N793" s="12"/>
      <c r="O793" s="12"/>
      <c r="P793" s="12"/>
      <c r="Q793" s="12"/>
      <c r="R793" s="12"/>
      <c r="S793" s="12"/>
      <c r="T793" s="12"/>
      <c r="U793" s="5"/>
      <c r="V793" s="5"/>
      <c r="W793" s="5"/>
      <c r="X793" s="5"/>
      <c r="Y793" s="5"/>
      <c r="Z793" s="5"/>
      <c r="AA793" s="69"/>
      <c r="AB793" s="69"/>
      <c r="AC793" s="5"/>
      <c r="AD793" s="88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</row>
    <row r="794" spans="1:256" ht="23.1" customHeight="1" x14ac:dyDescent="0.25">
      <c r="A794" s="5"/>
      <c r="B794" s="288"/>
      <c r="C794" s="12"/>
      <c r="D794" s="12"/>
      <c r="E794" s="12"/>
      <c r="F794" s="12"/>
      <c r="G794" s="12"/>
      <c r="H794" s="12"/>
      <c r="I794" s="12"/>
      <c r="J794" s="73"/>
      <c r="K794" s="73"/>
      <c r="L794" s="73"/>
      <c r="M794" s="73"/>
      <c r="N794" s="12"/>
      <c r="O794" s="12"/>
      <c r="P794" s="12"/>
      <c r="Q794" s="12"/>
      <c r="R794" s="12"/>
      <c r="S794" s="12"/>
      <c r="T794" s="12"/>
      <c r="U794" s="5"/>
      <c r="V794" s="5"/>
      <c r="W794" s="5"/>
      <c r="X794" s="5"/>
      <c r="Y794" s="5"/>
      <c r="Z794" s="5"/>
      <c r="AA794" s="69"/>
      <c r="AB794" s="69"/>
      <c r="AC794" s="5"/>
      <c r="AD794" s="88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</row>
    <row r="795" spans="1:256" ht="23.1" customHeight="1" x14ac:dyDescent="0.25">
      <c r="A795" s="5"/>
      <c r="B795" s="288"/>
      <c r="C795" s="12"/>
      <c r="D795" s="12"/>
      <c r="E795" s="12"/>
      <c r="F795" s="12"/>
      <c r="G795" s="12"/>
      <c r="H795" s="12"/>
      <c r="I795" s="12"/>
      <c r="J795" s="73"/>
      <c r="K795" s="73"/>
      <c r="L795" s="73"/>
      <c r="M795" s="73"/>
      <c r="N795" s="12"/>
      <c r="O795" s="12"/>
      <c r="P795" s="12"/>
      <c r="Q795" s="12"/>
      <c r="R795" s="12"/>
      <c r="S795" s="12"/>
      <c r="T795" s="12"/>
      <c r="U795" s="5"/>
      <c r="V795" s="5"/>
      <c r="W795" s="5"/>
      <c r="X795" s="5"/>
      <c r="Y795" s="5"/>
      <c r="Z795" s="5"/>
      <c r="AA795" s="69"/>
      <c r="AB795" s="69"/>
      <c r="AC795" s="5"/>
      <c r="AD795" s="88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</row>
    <row r="796" spans="1:256" ht="23.1" customHeight="1" x14ac:dyDescent="0.25">
      <c r="A796" s="5"/>
      <c r="B796" s="288"/>
      <c r="C796" s="12"/>
      <c r="D796" s="12"/>
      <c r="E796" s="12"/>
      <c r="F796" s="12"/>
      <c r="G796" s="12"/>
      <c r="H796" s="12"/>
      <c r="I796" s="12"/>
      <c r="J796" s="73"/>
      <c r="K796" s="73"/>
      <c r="L796" s="73"/>
      <c r="M796" s="73"/>
      <c r="N796" s="12"/>
      <c r="O796" s="12"/>
      <c r="P796" s="12"/>
      <c r="Q796" s="12"/>
      <c r="R796" s="12"/>
      <c r="S796" s="12"/>
      <c r="T796" s="12"/>
      <c r="U796" s="5"/>
      <c r="V796" s="5"/>
      <c r="W796" s="5"/>
      <c r="X796" s="5"/>
      <c r="Y796" s="5"/>
      <c r="Z796" s="5"/>
      <c r="AA796" s="69"/>
      <c r="AB796" s="69"/>
      <c r="AC796" s="5"/>
      <c r="AD796" s="88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</row>
    <row r="797" spans="1:256" ht="23.1" customHeight="1" x14ac:dyDescent="0.25">
      <c r="A797" s="5"/>
      <c r="B797" s="288"/>
      <c r="C797" s="12"/>
      <c r="D797" s="12"/>
      <c r="E797" s="12"/>
      <c r="F797" s="12"/>
      <c r="G797" s="12"/>
      <c r="H797" s="12"/>
      <c r="I797" s="12"/>
      <c r="J797" s="73"/>
      <c r="K797" s="73"/>
      <c r="L797" s="73"/>
      <c r="M797" s="73"/>
      <c r="N797" s="12"/>
      <c r="O797" s="12"/>
      <c r="P797" s="12"/>
      <c r="Q797" s="12"/>
      <c r="R797" s="12"/>
      <c r="S797" s="12"/>
      <c r="T797" s="12"/>
      <c r="U797" s="5"/>
      <c r="V797" s="5"/>
      <c r="W797" s="5"/>
      <c r="X797" s="5"/>
      <c r="Y797" s="5"/>
      <c r="Z797" s="5"/>
      <c r="AA797" s="69"/>
      <c r="AB797" s="69"/>
      <c r="AC797" s="5"/>
      <c r="AD797" s="88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</row>
    <row r="798" spans="1:256" ht="23.1" customHeight="1" x14ac:dyDescent="0.25">
      <c r="A798" s="5"/>
      <c r="B798" s="288"/>
      <c r="C798" s="12"/>
      <c r="D798" s="12"/>
      <c r="E798" s="12"/>
      <c r="F798" s="12"/>
      <c r="G798" s="12"/>
      <c r="H798" s="12"/>
      <c r="I798" s="12"/>
      <c r="J798" s="73"/>
      <c r="K798" s="73"/>
      <c r="L798" s="73"/>
      <c r="M798" s="73"/>
      <c r="N798" s="12"/>
      <c r="O798" s="12"/>
      <c r="P798" s="12"/>
      <c r="Q798" s="12"/>
      <c r="R798" s="12"/>
      <c r="S798" s="12"/>
      <c r="T798" s="12"/>
      <c r="U798" s="5"/>
      <c r="V798" s="5"/>
      <c r="W798" s="5"/>
      <c r="X798" s="5"/>
      <c r="Y798" s="5"/>
      <c r="Z798" s="5"/>
      <c r="AA798" s="69"/>
      <c r="AB798" s="69"/>
      <c r="AC798" s="5"/>
      <c r="AD798" s="88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</row>
    <row r="799" spans="1:256" ht="23.1" customHeight="1" x14ac:dyDescent="0.25">
      <c r="A799" s="5"/>
      <c r="B799" s="288"/>
      <c r="C799" s="12"/>
      <c r="D799" s="12"/>
      <c r="E799" s="12"/>
      <c r="F799" s="12"/>
      <c r="G799" s="12"/>
      <c r="H799" s="12"/>
      <c r="I799" s="12"/>
      <c r="J799" s="73"/>
      <c r="K799" s="73"/>
      <c r="L799" s="73"/>
      <c r="M799" s="73"/>
      <c r="N799" s="12"/>
      <c r="O799" s="12"/>
      <c r="P799" s="12"/>
      <c r="Q799" s="12"/>
      <c r="R799" s="12"/>
      <c r="S799" s="12"/>
      <c r="T799" s="12"/>
      <c r="U799" s="5"/>
      <c r="V799" s="5"/>
      <c r="W799" s="5"/>
      <c r="X799" s="5"/>
      <c r="Y799" s="5"/>
      <c r="Z799" s="5"/>
      <c r="AA799" s="69"/>
      <c r="AB799" s="69"/>
      <c r="AC799" s="5"/>
      <c r="AD799" s="88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</row>
    <row r="800" spans="1:256" ht="23.1" customHeight="1" x14ac:dyDescent="0.25">
      <c r="A800" s="5"/>
      <c r="B800" s="288"/>
      <c r="C800" s="12"/>
      <c r="D800" s="12"/>
      <c r="E800" s="12"/>
      <c r="F800" s="12"/>
      <c r="G800" s="12"/>
      <c r="H800" s="12"/>
      <c r="I800" s="12"/>
      <c r="J800" s="73"/>
      <c r="K800" s="73"/>
      <c r="L800" s="73"/>
      <c r="M800" s="73"/>
      <c r="N800" s="12"/>
      <c r="O800" s="12"/>
      <c r="P800" s="12"/>
      <c r="Q800" s="12"/>
      <c r="R800" s="12"/>
      <c r="S800" s="12"/>
      <c r="T800" s="12"/>
      <c r="U800" s="5"/>
      <c r="V800" s="5"/>
      <c r="W800" s="5"/>
      <c r="X800" s="5"/>
      <c r="Y800" s="5"/>
      <c r="Z800" s="5"/>
      <c r="AA800" s="69"/>
      <c r="AB800" s="69"/>
      <c r="AC800" s="5"/>
      <c r="AD800" s="88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</row>
    <row r="801" spans="1:256" ht="23.1" customHeight="1" x14ac:dyDescent="0.25">
      <c r="A801" s="5"/>
      <c r="B801" s="288"/>
      <c r="C801" s="12"/>
      <c r="D801" s="12"/>
      <c r="E801" s="12"/>
      <c r="F801" s="12"/>
      <c r="G801" s="12"/>
      <c r="H801" s="12"/>
      <c r="I801" s="12"/>
      <c r="J801" s="73"/>
      <c r="K801" s="73"/>
      <c r="L801" s="73"/>
      <c r="M801" s="73"/>
      <c r="N801" s="12"/>
      <c r="O801" s="12"/>
      <c r="P801" s="12"/>
      <c r="Q801" s="12"/>
      <c r="R801" s="12"/>
      <c r="S801" s="12"/>
      <c r="T801" s="12"/>
      <c r="U801" s="5"/>
      <c r="V801" s="5"/>
      <c r="W801" s="5"/>
      <c r="X801" s="5"/>
      <c r="Y801" s="5"/>
      <c r="Z801" s="5"/>
      <c r="AA801" s="69"/>
      <c r="AB801" s="69"/>
      <c r="AC801" s="5"/>
      <c r="AD801" s="88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</row>
    <row r="802" spans="1:256" ht="23.1" customHeight="1" x14ac:dyDescent="0.25">
      <c r="A802" s="5"/>
      <c r="B802" s="288"/>
      <c r="C802" s="12"/>
      <c r="D802" s="12"/>
      <c r="E802" s="12"/>
      <c r="F802" s="12"/>
      <c r="G802" s="12"/>
      <c r="H802" s="12"/>
      <c r="I802" s="12"/>
      <c r="J802" s="73"/>
      <c r="K802" s="73"/>
      <c r="L802" s="73"/>
      <c r="M802" s="73"/>
      <c r="N802" s="12"/>
      <c r="O802" s="12"/>
      <c r="P802" s="12"/>
      <c r="Q802" s="12"/>
      <c r="R802" s="12"/>
      <c r="S802" s="12"/>
      <c r="T802" s="12"/>
      <c r="U802" s="5"/>
      <c r="V802" s="5"/>
      <c r="W802" s="5"/>
      <c r="X802" s="5"/>
      <c r="Y802" s="5"/>
      <c r="Z802" s="5"/>
      <c r="AA802" s="69"/>
      <c r="AB802" s="69"/>
      <c r="AC802" s="5"/>
      <c r="AD802" s="88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</row>
    <row r="803" spans="1:256" ht="23.1" customHeight="1" x14ac:dyDescent="0.25">
      <c r="A803" s="5"/>
      <c r="B803" s="288"/>
      <c r="C803" s="12"/>
      <c r="D803" s="12"/>
      <c r="E803" s="12"/>
      <c r="F803" s="12"/>
      <c r="G803" s="12"/>
      <c r="H803" s="12"/>
      <c r="I803" s="12"/>
      <c r="J803" s="73"/>
      <c r="K803" s="73"/>
      <c r="L803" s="73"/>
      <c r="M803" s="73"/>
      <c r="N803" s="12"/>
      <c r="O803" s="12"/>
      <c r="P803" s="12"/>
      <c r="Q803" s="12"/>
      <c r="R803" s="12"/>
      <c r="S803" s="12"/>
      <c r="T803" s="12"/>
      <c r="U803" s="5"/>
      <c r="V803" s="5"/>
      <c r="W803" s="5"/>
      <c r="X803" s="5"/>
      <c r="Y803" s="5"/>
      <c r="Z803" s="5"/>
      <c r="AA803" s="69"/>
      <c r="AB803" s="69"/>
      <c r="AC803" s="5"/>
      <c r="AD803" s="88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</row>
    <row r="804" spans="1:256" ht="23.1" customHeight="1" x14ac:dyDescent="0.25">
      <c r="A804" s="5"/>
      <c r="B804" s="288"/>
      <c r="C804" s="12"/>
      <c r="D804" s="12"/>
      <c r="E804" s="12"/>
      <c r="F804" s="12"/>
      <c r="G804" s="12"/>
      <c r="H804" s="12"/>
      <c r="I804" s="12"/>
      <c r="J804" s="73"/>
      <c r="K804" s="73"/>
      <c r="L804" s="73"/>
      <c r="M804" s="73"/>
      <c r="N804" s="12"/>
      <c r="O804" s="12"/>
      <c r="P804" s="12"/>
      <c r="Q804" s="12"/>
      <c r="R804" s="12"/>
      <c r="S804" s="12"/>
      <c r="T804" s="12"/>
      <c r="U804" s="5"/>
      <c r="V804" s="5"/>
      <c r="W804" s="5"/>
      <c r="X804" s="5"/>
      <c r="Y804" s="5"/>
      <c r="Z804" s="5"/>
      <c r="AA804" s="69"/>
      <c r="AB804" s="69"/>
      <c r="AC804" s="5"/>
      <c r="AD804" s="88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</row>
    <row r="805" spans="1:256" ht="23.1" customHeight="1" x14ac:dyDescent="0.25">
      <c r="A805" s="5"/>
      <c r="B805" s="288"/>
      <c r="C805" s="12"/>
      <c r="D805" s="12"/>
      <c r="E805" s="12"/>
      <c r="F805" s="12"/>
      <c r="G805" s="12"/>
      <c r="H805" s="12"/>
      <c r="I805" s="12"/>
      <c r="J805" s="73"/>
      <c r="K805" s="73"/>
      <c r="L805" s="73"/>
      <c r="M805" s="73"/>
      <c r="N805" s="12"/>
      <c r="O805" s="12"/>
      <c r="P805" s="12"/>
      <c r="Q805" s="12"/>
      <c r="R805" s="12"/>
      <c r="S805" s="12"/>
      <c r="T805" s="12"/>
      <c r="U805" s="5"/>
      <c r="V805" s="5"/>
      <c r="W805" s="5"/>
      <c r="X805" s="5"/>
      <c r="Y805" s="5"/>
      <c r="Z805" s="5"/>
      <c r="AA805" s="69"/>
      <c r="AB805" s="69"/>
      <c r="AC805" s="5"/>
      <c r="AD805" s="88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</row>
    <row r="806" spans="1:256" ht="23.1" customHeight="1" x14ac:dyDescent="0.25">
      <c r="A806" s="5"/>
      <c r="B806" s="288"/>
      <c r="C806" s="12"/>
      <c r="D806" s="12"/>
      <c r="E806" s="12"/>
      <c r="F806" s="12"/>
      <c r="G806" s="12"/>
      <c r="H806" s="12"/>
      <c r="I806" s="12"/>
      <c r="J806" s="73"/>
      <c r="K806" s="73"/>
      <c r="L806" s="73"/>
      <c r="M806" s="73"/>
      <c r="N806" s="12"/>
      <c r="O806" s="12"/>
      <c r="P806" s="12"/>
      <c r="Q806" s="12"/>
      <c r="R806" s="12"/>
      <c r="S806" s="12"/>
      <c r="T806" s="12"/>
      <c r="U806" s="5"/>
      <c r="V806" s="5"/>
      <c r="W806" s="5"/>
      <c r="X806" s="5"/>
      <c r="Y806" s="5"/>
      <c r="Z806" s="5"/>
      <c r="AA806" s="69"/>
      <c r="AB806" s="69"/>
      <c r="AC806" s="5"/>
      <c r="AD806" s="88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</row>
    <row r="807" spans="1:256" ht="23.1" customHeight="1" x14ac:dyDescent="0.25">
      <c r="A807" s="5"/>
      <c r="B807" s="288"/>
      <c r="C807" s="12"/>
      <c r="D807" s="12"/>
      <c r="E807" s="12"/>
      <c r="F807" s="12"/>
      <c r="G807" s="12"/>
      <c r="H807" s="12"/>
      <c r="I807" s="12"/>
      <c r="J807" s="73"/>
      <c r="K807" s="73"/>
      <c r="L807" s="73"/>
      <c r="M807" s="73"/>
      <c r="N807" s="12"/>
      <c r="O807" s="12"/>
      <c r="P807" s="12"/>
      <c r="Q807" s="12"/>
      <c r="R807" s="12"/>
      <c r="S807" s="12"/>
      <c r="T807" s="12"/>
      <c r="U807" s="5"/>
      <c r="V807" s="5"/>
      <c r="W807" s="5"/>
      <c r="X807" s="5"/>
      <c r="Y807" s="5"/>
      <c r="Z807" s="5"/>
      <c r="AA807" s="69"/>
      <c r="AB807" s="69"/>
      <c r="AC807" s="5"/>
      <c r="AD807" s="88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</row>
    <row r="808" spans="1:256" ht="23.1" customHeight="1" x14ac:dyDescent="0.25">
      <c r="A808" s="5"/>
      <c r="B808" s="288"/>
      <c r="C808" s="12"/>
      <c r="D808" s="12"/>
      <c r="E808" s="12"/>
      <c r="F808" s="12"/>
      <c r="G808" s="12"/>
      <c r="H808" s="12"/>
      <c r="I808" s="12"/>
      <c r="J808" s="73"/>
      <c r="K808" s="73"/>
      <c r="L808" s="73"/>
      <c r="M808" s="73"/>
      <c r="N808" s="12"/>
      <c r="O808" s="12"/>
      <c r="P808" s="12"/>
      <c r="Q808" s="12"/>
      <c r="R808" s="12"/>
      <c r="S808" s="12"/>
      <c r="T808" s="12"/>
      <c r="U808" s="5"/>
      <c r="V808" s="5"/>
      <c r="W808" s="5"/>
      <c r="X808" s="5"/>
      <c r="Y808" s="5"/>
      <c r="Z808" s="5"/>
      <c r="AA808" s="69"/>
      <c r="AB808" s="69"/>
      <c r="AC808" s="5"/>
      <c r="AD808" s="88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</row>
    <row r="809" spans="1:256" ht="23.1" customHeight="1" x14ac:dyDescent="0.25">
      <c r="A809" s="5"/>
      <c r="B809" s="288"/>
      <c r="C809" s="12"/>
      <c r="D809" s="12"/>
      <c r="E809" s="12"/>
      <c r="F809" s="12"/>
      <c r="G809" s="12"/>
      <c r="H809" s="12"/>
      <c r="I809" s="12"/>
      <c r="J809" s="73"/>
      <c r="K809" s="73"/>
      <c r="L809" s="73"/>
      <c r="M809" s="73"/>
      <c r="N809" s="12"/>
      <c r="O809" s="12"/>
      <c r="P809" s="12"/>
      <c r="Q809" s="12"/>
      <c r="R809" s="12"/>
      <c r="S809" s="12"/>
      <c r="T809" s="12"/>
      <c r="U809" s="5"/>
      <c r="V809" s="5"/>
      <c r="W809" s="5"/>
      <c r="X809" s="5"/>
      <c r="Y809" s="5"/>
      <c r="Z809" s="5"/>
      <c r="AA809" s="69"/>
      <c r="AB809" s="69"/>
      <c r="AC809" s="5"/>
      <c r="AD809" s="88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</row>
    <row r="810" spans="1:256" ht="23.1" customHeight="1" x14ac:dyDescent="0.25">
      <c r="A810" s="5"/>
      <c r="B810" s="288"/>
      <c r="C810" s="12"/>
      <c r="D810" s="12"/>
      <c r="E810" s="12"/>
      <c r="F810" s="12"/>
      <c r="G810" s="12"/>
      <c r="H810" s="12"/>
      <c r="I810" s="12"/>
      <c r="J810" s="73"/>
      <c r="K810" s="73"/>
      <c r="L810" s="73"/>
      <c r="M810" s="73"/>
      <c r="N810" s="12"/>
      <c r="O810" s="12"/>
      <c r="P810" s="12"/>
      <c r="Q810" s="12"/>
      <c r="R810" s="12"/>
      <c r="S810" s="12"/>
      <c r="T810" s="12"/>
      <c r="U810" s="5"/>
      <c r="V810" s="5"/>
      <c r="W810" s="5"/>
      <c r="X810" s="5"/>
      <c r="Y810" s="5"/>
      <c r="Z810" s="5"/>
      <c r="AA810" s="69"/>
      <c r="AB810" s="69"/>
      <c r="AC810" s="5"/>
      <c r="AD810" s="88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</row>
    <row r="811" spans="1:256" ht="23.1" customHeight="1" x14ac:dyDescent="0.25">
      <c r="A811" s="5"/>
      <c r="B811" s="288"/>
      <c r="C811" s="12"/>
      <c r="D811" s="12"/>
      <c r="E811" s="12"/>
      <c r="F811" s="12"/>
      <c r="G811" s="12"/>
      <c r="H811" s="12"/>
      <c r="I811" s="12"/>
      <c r="J811" s="73"/>
      <c r="K811" s="73"/>
      <c r="L811" s="73"/>
      <c r="M811" s="73"/>
      <c r="N811" s="12"/>
      <c r="O811" s="12"/>
      <c r="P811" s="12"/>
      <c r="Q811" s="12"/>
      <c r="R811" s="12"/>
      <c r="S811" s="12"/>
      <c r="T811" s="12"/>
      <c r="U811" s="5"/>
      <c r="V811" s="5"/>
      <c r="W811" s="5"/>
      <c r="X811" s="5"/>
      <c r="Y811" s="5"/>
      <c r="Z811" s="5"/>
      <c r="AA811" s="69"/>
      <c r="AB811" s="69"/>
      <c r="AC811" s="5"/>
      <c r="AD811" s="88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</row>
    <row r="812" spans="1:256" ht="23.1" customHeight="1" x14ac:dyDescent="0.25">
      <c r="A812" s="5"/>
      <c r="B812" s="288"/>
      <c r="C812" s="12"/>
      <c r="D812" s="12"/>
      <c r="E812" s="12"/>
      <c r="F812" s="12"/>
      <c r="G812" s="12"/>
      <c r="H812" s="12"/>
      <c r="I812" s="12"/>
      <c r="J812" s="73"/>
      <c r="K812" s="73"/>
      <c r="L812" s="73"/>
      <c r="M812" s="73"/>
      <c r="N812" s="12"/>
      <c r="O812" s="12"/>
      <c r="P812" s="12"/>
      <c r="Q812" s="12"/>
      <c r="R812" s="12"/>
      <c r="S812" s="12"/>
      <c r="T812" s="12"/>
      <c r="U812" s="5"/>
      <c r="V812" s="5"/>
      <c r="W812" s="5"/>
      <c r="X812" s="5"/>
      <c r="Y812" s="5"/>
      <c r="Z812" s="5"/>
      <c r="AA812" s="69"/>
      <c r="AB812" s="69"/>
      <c r="AC812" s="5"/>
      <c r="AD812" s="88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</row>
    <row r="813" spans="1:256" ht="23.1" customHeight="1" x14ac:dyDescent="0.25">
      <c r="A813" s="5"/>
      <c r="B813" s="288"/>
      <c r="C813" s="12"/>
      <c r="D813" s="12"/>
      <c r="E813" s="12"/>
      <c r="F813" s="12"/>
      <c r="G813" s="12"/>
      <c r="H813" s="12"/>
      <c r="I813" s="12"/>
      <c r="J813" s="73"/>
      <c r="K813" s="73"/>
      <c r="L813" s="73"/>
      <c r="M813" s="73"/>
      <c r="N813" s="12"/>
      <c r="O813" s="12"/>
      <c r="P813" s="12"/>
      <c r="Q813" s="12"/>
      <c r="R813" s="12"/>
      <c r="S813" s="12"/>
      <c r="T813" s="12"/>
      <c r="U813" s="5"/>
      <c r="V813" s="5"/>
      <c r="W813" s="5"/>
      <c r="X813" s="5"/>
      <c r="Y813" s="5"/>
      <c r="Z813" s="5"/>
      <c r="AA813" s="69"/>
      <c r="AB813" s="69"/>
      <c r="AC813" s="5"/>
      <c r="AD813" s="88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</row>
    <row r="814" spans="1:256" ht="23.1" customHeight="1" x14ac:dyDescent="0.25">
      <c r="A814" s="5"/>
      <c r="B814" s="288"/>
      <c r="C814" s="12"/>
      <c r="D814" s="12"/>
      <c r="E814" s="12"/>
      <c r="F814" s="12"/>
      <c r="G814" s="12"/>
      <c r="H814" s="12"/>
      <c r="I814" s="12"/>
      <c r="J814" s="73"/>
      <c r="K814" s="73"/>
      <c r="L814" s="73"/>
      <c r="M814" s="73"/>
      <c r="N814" s="12"/>
      <c r="O814" s="12"/>
      <c r="P814" s="12"/>
      <c r="Q814" s="12"/>
      <c r="R814" s="12"/>
      <c r="S814" s="12"/>
      <c r="T814" s="12"/>
      <c r="U814" s="5"/>
      <c r="V814" s="5"/>
      <c r="W814" s="5"/>
      <c r="X814" s="5"/>
      <c r="Y814" s="5"/>
      <c r="Z814" s="5"/>
      <c r="AA814" s="69"/>
      <c r="AB814" s="69"/>
      <c r="AC814" s="5"/>
      <c r="AD814" s="88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</row>
    <row r="815" spans="1:256" ht="23.1" customHeight="1" x14ac:dyDescent="0.25">
      <c r="A815" s="5"/>
      <c r="B815" s="288"/>
      <c r="C815" s="12"/>
      <c r="D815" s="12"/>
      <c r="E815" s="12"/>
      <c r="F815" s="12"/>
      <c r="G815" s="12"/>
      <c r="H815" s="12"/>
      <c r="I815" s="12"/>
      <c r="J815" s="73"/>
      <c r="K815" s="73"/>
      <c r="L815" s="73"/>
      <c r="M815" s="73"/>
      <c r="N815" s="12"/>
      <c r="O815" s="12"/>
      <c r="P815" s="12"/>
      <c r="Q815" s="12"/>
      <c r="R815" s="12"/>
      <c r="S815" s="12"/>
      <c r="T815" s="12"/>
      <c r="U815" s="5"/>
      <c r="V815" s="5"/>
      <c r="W815" s="5"/>
      <c r="X815" s="5"/>
      <c r="Y815" s="5"/>
      <c r="Z815" s="5"/>
      <c r="AA815" s="69"/>
      <c r="AB815" s="69"/>
      <c r="AC815" s="5"/>
      <c r="AD815" s="88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</row>
    <row r="816" spans="1:256" ht="23.1" customHeight="1" x14ac:dyDescent="0.25">
      <c r="A816" s="5"/>
      <c r="B816" s="288"/>
      <c r="C816" s="12"/>
      <c r="D816" s="12"/>
      <c r="E816" s="12"/>
      <c r="F816" s="12"/>
      <c r="G816" s="12"/>
      <c r="H816" s="12"/>
      <c r="I816" s="12"/>
      <c r="J816" s="73"/>
      <c r="K816" s="73"/>
      <c r="L816" s="73"/>
      <c r="M816" s="73"/>
      <c r="N816" s="12"/>
      <c r="O816" s="12"/>
      <c r="P816" s="12"/>
      <c r="Q816" s="12"/>
      <c r="R816" s="12"/>
      <c r="S816" s="12"/>
      <c r="T816" s="12"/>
      <c r="U816" s="5"/>
      <c r="V816" s="5"/>
      <c r="W816" s="5"/>
      <c r="X816" s="5"/>
      <c r="Y816" s="5"/>
      <c r="Z816" s="5"/>
      <c r="AA816" s="69"/>
      <c r="AB816" s="69"/>
      <c r="AC816" s="5"/>
      <c r="AD816" s="88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</row>
    <row r="817" spans="1:256" ht="23.1" customHeight="1" x14ac:dyDescent="0.25">
      <c r="A817" s="5"/>
      <c r="B817" s="288"/>
      <c r="C817" s="12"/>
      <c r="D817" s="12"/>
      <c r="E817" s="12"/>
      <c r="F817" s="12"/>
      <c r="G817" s="12"/>
      <c r="H817" s="12"/>
      <c r="I817" s="12"/>
      <c r="J817" s="73"/>
      <c r="K817" s="73"/>
      <c r="L817" s="73"/>
      <c r="M817" s="73"/>
      <c r="N817" s="12"/>
      <c r="O817" s="12"/>
      <c r="P817" s="12"/>
      <c r="Q817" s="12"/>
      <c r="R817" s="12"/>
      <c r="S817" s="12"/>
      <c r="T817" s="12"/>
      <c r="U817" s="5"/>
      <c r="V817" s="5"/>
      <c r="W817" s="5"/>
      <c r="X817" s="5"/>
      <c r="Y817" s="5"/>
      <c r="Z817" s="5"/>
      <c r="AA817" s="69"/>
      <c r="AB817" s="69"/>
      <c r="AC817" s="5"/>
      <c r="AD817" s="88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</row>
    <row r="818" spans="1:256" ht="23.1" customHeight="1" x14ac:dyDescent="0.25">
      <c r="A818" s="5"/>
      <c r="B818" s="288"/>
      <c r="C818" s="12"/>
      <c r="D818" s="12"/>
      <c r="E818" s="12"/>
      <c r="F818" s="12"/>
      <c r="G818" s="12"/>
      <c r="H818" s="12"/>
      <c r="I818" s="12"/>
      <c r="J818" s="73"/>
      <c r="K818" s="73"/>
      <c r="L818" s="73"/>
      <c r="M818" s="73"/>
      <c r="N818" s="12"/>
      <c r="O818" s="12"/>
      <c r="P818" s="12"/>
      <c r="Q818" s="12"/>
      <c r="R818" s="12"/>
      <c r="S818" s="12"/>
      <c r="T818" s="12"/>
      <c r="U818" s="5"/>
      <c r="V818" s="5"/>
      <c r="W818" s="5"/>
      <c r="X818" s="5"/>
      <c r="Y818" s="5"/>
      <c r="Z818" s="5"/>
      <c r="AA818" s="69"/>
      <c r="AB818" s="69"/>
      <c r="AC818" s="5"/>
      <c r="AD818" s="88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</row>
    <row r="819" spans="1:256" ht="23.1" customHeight="1" x14ac:dyDescent="0.25">
      <c r="A819" s="5"/>
      <c r="B819" s="288"/>
      <c r="C819" s="12"/>
      <c r="D819" s="12"/>
      <c r="E819" s="12"/>
      <c r="F819" s="12"/>
      <c r="G819" s="12"/>
      <c r="H819" s="12"/>
      <c r="I819" s="12"/>
      <c r="J819" s="73"/>
      <c r="K819" s="73"/>
      <c r="L819" s="73"/>
      <c r="M819" s="73"/>
      <c r="N819" s="12"/>
      <c r="O819" s="12"/>
      <c r="P819" s="12"/>
      <c r="Q819" s="12"/>
      <c r="R819" s="12"/>
      <c r="S819" s="12"/>
      <c r="T819" s="12"/>
      <c r="U819" s="5"/>
      <c r="V819" s="5"/>
      <c r="W819" s="5"/>
      <c r="X819" s="5"/>
      <c r="Y819" s="5"/>
      <c r="Z819" s="5"/>
      <c r="AA819" s="69"/>
      <c r="AB819" s="69"/>
      <c r="AC819" s="5"/>
      <c r="AD819" s="88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</row>
    <row r="820" spans="1:256" ht="23.1" customHeight="1" x14ac:dyDescent="0.25">
      <c r="A820" s="5"/>
      <c r="B820" s="288"/>
      <c r="C820" s="12"/>
      <c r="D820" s="12"/>
      <c r="E820" s="12"/>
      <c r="F820" s="12"/>
      <c r="G820" s="12"/>
      <c r="H820" s="12"/>
      <c r="I820" s="12"/>
      <c r="J820" s="73"/>
      <c r="K820" s="73"/>
      <c r="L820" s="73"/>
      <c r="M820" s="73"/>
      <c r="N820" s="12"/>
      <c r="O820" s="12"/>
      <c r="P820" s="12"/>
      <c r="Q820" s="12"/>
      <c r="R820" s="12"/>
      <c r="S820" s="12"/>
      <c r="T820" s="12"/>
      <c r="U820" s="5"/>
      <c r="V820" s="5"/>
      <c r="W820" s="5"/>
      <c r="X820" s="5"/>
      <c r="Y820" s="5"/>
      <c r="Z820" s="5"/>
      <c r="AA820" s="69"/>
      <c r="AB820" s="69"/>
      <c r="AC820" s="5"/>
      <c r="AD820" s="88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</row>
    <row r="821" spans="1:256" ht="23.1" customHeight="1" x14ac:dyDescent="0.25">
      <c r="A821" s="5"/>
      <c r="B821" s="288"/>
      <c r="C821" s="12"/>
      <c r="D821" s="12"/>
      <c r="E821" s="12"/>
      <c r="F821" s="12"/>
      <c r="G821" s="12"/>
      <c r="H821" s="12"/>
      <c r="I821" s="12"/>
      <c r="J821" s="73"/>
      <c r="K821" s="73"/>
      <c r="L821" s="73"/>
      <c r="M821" s="73"/>
      <c r="N821" s="12"/>
      <c r="O821" s="12"/>
      <c r="P821" s="12"/>
      <c r="Q821" s="12"/>
      <c r="R821" s="12"/>
      <c r="S821" s="12"/>
      <c r="T821" s="12"/>
      <c r="U821" s="5"/>
      <c r="V821" s="5"/>
      <c r="W821" s="5"/>
      <c r="X821" s="5"/>
      <c r="Y821" s="5"/>
      <c r="Z821" s="5"/>
      <c r="AA821" s="69"/>
      <c r="AB821" s="69"/>
      <c r="AC821" s="5"/>
      <c r="AD821" s="88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</row>
    <row r="822" spans="1:256" ht="23.1" customHeight="1" x14ac:dyDescent="0.25">
      <c r="A822" s="5"/>
      <c r="B822" s="288"/>
      <c r="C822" s="12"/>
      <c r="D822" s="12"/>
      <c r="E822" s="12"/>
      <c r="F822" s="12"/>
      <c r="G822" s="12"/>
      <c r="H822" s="12"/>
      <c r="I822" s="12"/>
      <c r="J822" s="73"/>
      <c r="K822" s="73"/>
      <c r="L822" s="73"/>
      <c r="M822" s="73"/>
      <c r="N822" s="12"/>
      <c r="O822" s="12"/>
      <c r="P822" s="12"/>
      <c r="Q822" s="12"/>
      <c r="R822" s="12"/>
      <c r="S822" s="12"/>
      <c r="T822" s="12"/>
      <c r="U822" s="5"/>
      <c r="V822" s="5"/>
      <c r="W822" s="5"/>
      <c r="X822" s="5"/>
      <c r="Y822" s="5"/>
      <c r="Z822" s="5"/>
      <c r="AA822" s="69"/>
      <c r="AB822" s="69"/>
      <c r="AC822" s="5"/>
      <c r="AD822" s="88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</row>
    <row r="823" spans="1:256" ht="23.1" customHeight="1" x14ac:dyDescent="0.25">
      <c r="A823" s="5"/>
      <c r="B823" s="288"/>
      <c r="C823" s="12"/>
      <c r="D823" s="12"/>
      <c r="E823" s="12"/>
      <c r="F823" s="12"/>
      <c r="G823" s="12"/>
      <c r="H823" s="12"/>
      <c r="I823" s="12"/>
      <c r="J823" s="73"/>
      <c r="K823" s="73"/>
      <c r="L823" s="73"/>
      <c r="M823" s="73"/>
      <c r="N823" s="12"/>
      <c r="O823" s="12"/>
      <c r="P823" s="12"/>
      <c r="Q823" s="12"/>
      <c r="R823" s="12"/>
      <c r="S823" s="12"/>
      <c r="T823" s="12"/>
      <c r="U823" s="5"/>
      <c r="V823" s="5"/>
      <c r="W823" s="5"/>
      <c r="X823" s="5"/>
      <c r="Y823" s="5"/>
      <c r="Z823" s="5"/>
      <c r="AA823" s="69"/>
      <c r="AB823" s="69"/>
      <c r="AC823" s="5"/>
      <c r="AD823" s="88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</row>
    <row r="824" spans="1:256" ht="23.1" customHeight="1" x14ac:dyDescent="0.25">
      <c r="A824" s="5"/>
      <c r="B824" s="288"/>
      <c r="C824" s="12"/>
      <c r="D824" s="12"/>
      <c r="E824" s="12"/>
      <c r="F824" s="12"/>
      <c r="G824" s="12"/>
      <c r="H824" s="12"/>
      <c r="I824" s="12"/>
      <c r="J824" s="73"/>
      <c r="K824" s="73"/>
      <c r="L824" s="73"/>
      <c r="M824" s="73"/>
      <c r="N824" s="12"/>
      <c r="O824" s="12"/>
      <c r="P824" s="12"/>
      <c r="Q824" s="12"/>
      <c r="R824" s="12"/>
      <c r="S824" s="12"/>
      <c r="T824" s="12"/>
      <c r="U824" s="5"/>
      <c r="V824" s="5"/>
      <c r="W824" s="5"/>
      <c r="X824" s="5"/>
      <c r="Y824" s="5"/>
      <c r="Z824" s="5"/>
      <c r="AA824" s="69"/>
      <c r="AB824" s="69"/>
      <c r="AC824" s="5"/>
      <c r="AD824" s="88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</row>
    <row r="825" spans="1:256" ht="23.1" customHeight="1" x14ac:dyDescent="0.25">
      <c r="A825" s="5"/>
      <c r="B825" s="288"/>
      <c r="C825" s="12"/>
      <c r="D825" s="12"/>
      <c r="E825" s="12"/>
      <c r="F825" s="12"/>
      <c r="G825" s="12"/>
      <c r="H825" s="12"/>
      <c r="I825" s="12"/>
      <c r="J825" s="73"/>
      <c r="K825" s="73"/>
      <c r="L825" s="73"/>
      <c r="M825" s="73"/>
      <c r="N825" s="12"/>
      <c r="O825" s="12"/>
      <c r="P825" s="12"/>
      <c r="Q825" s="12"/>
      <c r="R825" s="12"/>
      <c r="S825" s="12"/>
      <c r="T825" s="12"/>
      <c r="U825" s="5"/>
      <c r="V825" s="5"/>
      <c r="W825" s="5"/>
      <c r="X825" s="5"/>
      <c r="Y825" s="5"/>
      <c r="Z825" s="5"/>
      <c r="AA825" s="69"/>
      <c r="AB825" s="69"/>
      <c r="AC825" s="5"/>
      <c r="AD825" s="88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</row>
    <row r="826" spans="1:256" ht="23.1" customHeight="1" x14ac:dyDescent="0.25">
      <c r="A826" s="5"/>
      <c r="B826" s="288"/>
      <c r="C826" s="12"/>
      <c r="D826" s="12"/>
      <c r="E826" s="12"/>
      <c r="F826" s="12"/>
      <c r="G826" s="12"/>
      <c r="H826" s="12"/>
      <c r="I826" s="12"/>
      <c r="J826" s="73"/>
      <c r="K826" s="73"/>
      <c r="L826" s="73"/>
      <c r="M826" s="73"/>
      <c r="N826" s="12"/>
      <c r="O826" s="12"/>
      <c r="P826" s="12"/>
      <c r="Q826" s="12"/>
      <c r="R826" s="12"/>
      <c r="S826" s="12"/>
      <c r="T826" s="12"/>
      <c r="U826" s="5"/>
      <c r="V826" s="5"/>
      <c r="W826" s="5"/>
      <c r="X826" s="5"/>
      <c r="Y826" s="5"/>
      <c r="Z826" s="5"/>
      <c r="AA826" s="69"/>
      <c r="AB826" s="69"/>
      <c r="AC826" s="5"/>
      <c r="AD826" s="88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</row>
    <row r="827" spans="1:256" ht="23.1" customHeight="1" x14ac:dyDescent="0.25">
      <c r="A827" s="5"/>
      <c r="B827" s="288"/>
      <c r="C827" s="12"/>
      <c r="D827" s="12"/>
      <c r="E827" s="12"/>
      <c r="F827" s="12"/>
      <c r="G827" s="12"/>
      <c r="H827" s="12"/>
      <c r="I827" s="12"/>
      <c r="J827" s="73"/>
      <c r="K827" s="73"/>
      <c r="L827" s="73"/>
      <c r="M827" s="73"/>
      <c r="N827" s="12"/>
      <c r="O827" s="12"/>
      <c r="P827" s="12"/>
      <c r="Q827" s="12"/>
      <c r="R827" s="12"/>
      <c r="S827" s="12"/>
      <c r="T827" s="12"/>
      <c r="U827" s="5"/>
      <c r="V827" s="5"/>
      <c r="W827" s="5"/>
      <c r="X827" s="5"/>
      <c r="Y827" s="5"/>
      <c r="Z827" s="5"/>
      <c r="AA827" s="69"/>
      <c r="AB827" s="69"/>
      <c r="AC827" s="5"/>
      <c r="AD827" s="88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</row>
    <row r="828" spans="1:256" ht="23.1" customHeight="1" x14ac:dyDescent="0.25">
      <c r="A828" s="5"/>
      <c r="B828" s="288"/>
      <c r="C828" s="12"/>
      <c r="D828" s="12"/>
      <c r="E828" s="12"/>
      <c r="F828" s="12"/>
      <c r="G828" s="12"/>
      <c r="H828" s="12"/>
      <c r="I828" s="12"/>
      <c r="J828" s="73"/>
      <c r="K828" s="73"/>
      <c r="L828" s="73"/>
      <c r="M828" s="73"/>
      <c r="N828" s="12"/>
      <c r="O828" s="12"/>
      <c r="P828" s="12"/>
      <c r="Q828" s="12"/>
      <c r="R828" s="12"/>
      <c r="S828" s="12"/>
      <c r="T828" s="12"/>
      <c r="U828" s="5"/>
      <c r="V828" s="5"/>
      <c r="W828" s="5"/>
      <c r="X828" s="5"/>
      <c r="Y828" s="5"/>
      <c r="Z828" s="5"/>
      <c r="AA828" s="69"/>
      <c r="AB828" s="69"/>
      <c r="AC828" s="5"/>
      <c r="AD828" s="88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</row>
    <row r="829" spans="1:256" ht="23.1" customHeight="1" x14ac:dyDescent="0.25">
      <c r="A829" s="5"/>
      <c r="B829" s="288"/>
      <c r="C829" s="12"/>
      <c r="D829" s="12"/>
      <c r="E829" s="12"/>
      <c r="F829" s="12"/>
      <c r="G829" s="12"/>
      <c r="H829" s="12"/>
      <c r="I829" s="12"/>
      <c r="J829" s="73"/>
      <c r="K829" s="73"/>
      <c r="L829" s="73"/>
      <c r="M829" s="73"/>
      <c r="N829" s="12"/>
      <c r="O829" s="12"/>
      <c r="P829" s="12"/>
      <c r="Q829" s="12"/>
      <c r="R829" s="12"/>
      <c r="S829" s="12"/>
      <c r="T829" s="12"/>
      <c r="U829" s="5"/>
      <c r="V829" s="5"/>
      <c r="W829" s="5"/>
      <c r="X829" s="5"/>
      <c r="Y829" s="5"/>
      <c r="Z829" s="5"/>
      <c r="AA829" s="69"/>
      <c r="AB829" s="69"/>
      <c r="AC829" s="5"/>
      <c r="AD829" s="88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</row>
    <row r="830" spans="1:256" ht="23.1" customHeight="1" x14ac:dyDescent="0.25">
      <c r="A830" s="5"/>
      <c r="B830" s="288"/>
      <c r="C830" s="12"/>
      <c r="D830" s="12"/>
      <c r="E830" s="12"/>
      <c r="F830" s="12"/>
      <c r="G830" s="12"/>
      <c r="H830" s="12"/>
      <c r="I830" s="12"/>
      <c r="J830" s="73"/>
      <c r="K830" s="73"/>
      <c r="L830" s="73"/>
      <c r="M830" s="73"/>
      <c r="N830" s="12"/>
      <c r="O830" s="12"/>
      <c r="P830" s="12"/>
      <c r="Q830" s="12"/>
      <c r="R830" s="12"/>
      <c r="S830" s="12"/>
      <c r="T830" s="12"/>
      <c r="U830" s="5"/>
      <c r="V830" s="5"/>
      <c r="W830" s="5"/>
      <c r="X830" s="5"/>
      <c r="Y830" s="5"/>
      <c r="Z830" s="5"/>
      <c r="AA830" s="69"/>
      <c r="AB830" s="69"/>
      <c r="AC830" s="5"/>
      <c r="AD830" s="88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</row>
    <row r="831" spans="1:256" ht="23.1" customHeight="1" x14ac:dyDescent="0.25">
      <c r="A831" s="5"/>
      <c r="B831" s="288"/>
      <c r="C831" s="12"/>
      <c r="D831" s="12"/>
      <c r="E831" s="12"/>
      <c r="F831" s="12"/>
      <c r="G831" s="12"/>
      <c r="H831" s="12"/>
      <c r="I831" s="12"/>
      <c r="J831" s="73"/>
      <c r="K831" s="73"/>
      <c r="L831" s="73"/>
      <c r="M831" s="73"/>
      <c r="N831" s="12"/>
      <c r="O831" s="12"/>
      <c r="P831" s="12"/>
      <c r="Q831" s="12"/>
      <c r="R831" s="12"/>
      <c r="S831" s="12"/>
      <c r="T831" s="12"/>
      <c r="U831" s="5"/>
      <c r="V831" s="5"/>
      <c r="W831" s="5"/>
      <c r="X831" s="5"/>
      <c r="Y831" s="5"/>
      <c r="Z831" s="5"/>
      <c r="AA831" s="69"/>
      <c r="AB831" s="69"/>
      <c r="AC831" s="5"/>
      <c r="AD831" s="88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</row>
    <row r="832" spans="1:256" ht="23.1" customHeight="1" x14ac:dyDescent="0.25">
      <c r="A832" s="5"/>
      <c r="B832" s="288"/>
      <c r="C832" s="12"/>
      <c r="D832" s="12"/>
      <c r="E832" s="12"/>
      <c r="F832" s="12"/>
      <c r="G832" s="12"/>
      <c r="H832" s="12"/>
      <c r="I832" s="12"/>
      <c r="J832" s="73"/>
      <c r="K832" s="73"/>
      <c r="L832" s="73"/>
      <c r="M832" s="73"/>
      <c r="N832" s="12"/>
      <c r="O832" s="12"/>
      <c r="P832" s="12"/>
      <c r="Q832" s="12"/>
      <c r="R832" s="12"/>
      <c r="S832" s="12"/>
      <c r="T832" s="12"/>
      <c r="U832" s="5"/>
      <c r="V832" s="5"/>
      <c r="W832" s="5"/>
      <c r="X832" s="5"/>
      <c r="Y832" s="5"/>
      <c r="Z832" s="5"/>
      <c r="AA832" s="69"/>
      <c r="AB832" s="69"/>
      <c r="AC832" s="5"/>
      <c r="AD832" s="88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</row>
    <row r="833" spans="1:256" ht="23.1" customHeight="1" x14ac:dyDescent="0.25">
      <c r="A833" s="5"/>
      <c r="B833" s="288"/>
      <c r="C833" s="12"/>
      <c r="D833" s="12"/>
      <c r="E833" s="12"/>
      <c r="F833" s="12"/>
      <c r="G833" s="12"/>
      <c r="H833" s="12"/>
      <c r="I833" s="12"/>
      <c r="J833" s="73"/>
      <c r="K833" s="73"/>
      <c r="L833" s="73"/>
      <c r="M833" s="73"/>
      <c r="N833" s="12"/>
      <c r="O833" s="12"/>
      <c r="P833" s="12"/>
      <c r="Q833" s="12"/>
      <c r="R833" s="12"/>
      <c r="S833" s="12"/>
      <c r="T833" s="12"/>
      <c r="U833" s="5"/>
      <c r="V833" s="5"/>
      <c r="W833" s="5"/>
      <c r="X833" s="5"/>
      <c r="Y833" s="5"/>
      <c r="Z833" s="5"/>
      <c r="AA833" s="69"/>
      <c r="AB833" s="69"/>
      <c r="AC833" s="5"/>
      <c r="AD833" s="88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</row>
    <row r="834" spans="1:256" ht="23.1" customHeight="1" x14ac:dyDescent="0.25">
      <c r="A834" s="5"/>
      <c r="B834" s="288"/>
      <c r="C834" s="12"/>
      <c r="D834" s="12"/>
      <c r="E834" s="12"/>
      <c r="F834" s="12"/>
      <c r="G834" s="12"/>
      <c r="H834" s="12"/>
      <c r="I834" s="12"/>
      <c r="J834" s="73"/>
      <c r="K834" s="73"/>
      <c r="L834" s="73"/>
      <c r="M834" s="73"/>
      <c r="N834" s="12"/>
      <c r="O834" s="12"/>
      <c r="P834" s="12"/>
      <c r="Q834" s="12"/>
      <c r="R834" s="12"/>
      <c r="S834" s="12"/>
      <c r="T834" s="12"/>
      <c r="U834" s="5"/>
      <c r="V834" s="5"/>
      <c r="W834" s="5"/>
      <c r="X834" s="5"/>
      <c r="Y834" s="5"/>
      <c r="Z834" s="5"/>
      <c r="AA834" s="69"/>
      <c r="AB834" s="69"/>
      <c r="AC834" s="5"/>
      <c r="AD834" s="88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</row>
    <row r="835" spans="1:256" ht="23.1" customHeight="1" x14ac:dyDescent="0.25">
      <c r="A835" s="5"/>
      <c r="B835" s="288"/>
      <c r="C835" s="12"/>
      <c r="D835" s="12"/>
      <c r="E835" s="12"/>
      <c r="F835" s="12"/>
      <c r="G835" s="12"/>
      <c r="H835" s="12"/>
      <c r="I835" s="12"/>
      <c r="J835" s="73"/>
      <c r="K835" s="73"/>
      <c r="L835" s="73"/>
      <c r="M835" s="73"/>
      <c r="N835" s="12"/>
      <c r="O835" s="12"/>
      <c r="P835" s="12"/>
      <c r="Q835" s="12"/>
      <c r="R835" s="12"/>
      <c r="S835" s="12"/>
      <c r="T835" s="12"/>
      <c r="U835" s="5"/>
      <c r="V835" s="5"/>
      <c r="W835" s="5"/>
      <c r="X835" s="5"/>
      <c r="Y835" s="5"/>
      <c r="Z835" s="5"/>
      <c r="AA835" s="69"/>
      <c r="AB835" s="69"/>
      <c r="AC835" s="5"/>
      <c r="AD835" s="88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</row>
    <row r="836" spans="1:256" ht="23.1" customHeight="1" x14ac:dyDescent="0.25">
      <c r="A836" s="5"/>
      <c r="B836" s="288"/>
      <c r="C836" s="12"/>
      <c r="D836" s="12"/>
      <c r="E836" s="12"/>
      <c r="F836" s="12"/>
      <c r="G836" s="12"/>
      <c r="H836" s="12"/>
      <c r="I836" s="12"/>
      <c r="J836" s="73"/>
      <c r="K836" s="73"/>
      <c r="L836" s="73"/>
      <c r="M836" s="73"/>
      <c r="N836" s="12"/>
      <c r="O836" s="12"/>
      <c r="P836" s="12"/>
      <c r="Q836" s="12"/>
      <c r="R836" s="12"/>
      <c r="S836" s="12"/>
      <c r="T836" s="12"/>
      <c r="U836" s="5"/>
      <c r="V836" s="5"/>
      <c r="W836" s="5"/>
      <c r="X836" s="5"/>
      <c r="Y836" s="5"/>
      <c r="Z836" s="5"/>
      <c r="AA836" s="69"/>
      <c r="AB836" s="69"/>
      <c r="AC836" s="5"/>
      <c r="AD836" s="88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</row>
    <row r="837" spans="1:256" ht="23.1" customHeight="1" x14ac:dyDescent="0.25">
      <c r="A837" s="5"/>
      <c r="B837" s="288"/>
      <c r="C837" s="12"/>
      <c r="D837" s="12"/>
      <c r="E837" s="12"/>
      <c r="F837" s="12"/>
      <c r="G837" s="12"/>
      <c r="H837" s="12"/>
      <c r="I837" s="12"/>
      <c r="J837" s="73"/>
      <c r="K837" s="73"/>
      <c r="L837" s="73"/>
      <c r="M837" s="73"/>
      <c r="N837" s="12"/>
      <c r="O837" s="12"/>
      <c r="P837" s="12"/>
      <c r="Q837" s="12"/>
      <c r="R837" s="12"/>
      <c r="S837" s="12"/>
      <c r="T837" s="12"/>
      <c r="U837" s="5"/>
      <c r="V837" s="5"/>
      <c r="W837" s="5"/>
      <c r="X837" s="5"/>
      <c r="Y837" s="5"/>
      <c r="Z837" s="5"/>
      <c r="AA837" s="69"/>
      <c r="AB837" s="69"/>
      <c r="AC837" s="5"/>
      <c r="AD837" s="88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</row>
    <row r="838" spans="1:256" ht="23.1" customHeight="1" x14ac:dyDescent="0.25">
      <c r="A838" s="5"/>
      <c r="B838" s="288"/>
      <c r="C838" s="12"/>
      <c r="D838" s="12"/>
      <c r="E838" s="12"/>
      <c r="F838" s="12"/>
      <c r="G838" s="12"/>
      <c r="H838" s="12"/>
      <c r="I838" s="12"/>
      <c r="J838" s="73"/>
      <c r="K838" s="73"/>
      <c r="L838" s="73"/>
      <c r="M838" s="73"/>
      <c r="N838" s="12"/>
      <c r="O838" s="12"/>
      <c r="P838" s="12"/>
      <c r="Q838" s="12"/>
      <c r="R838" s="12"/>
      <c r="S838" s="12"/>
      <c r="T838" s="12"/>
      <c r="U838" s="5"/>
      <c r="V838" s="5"/>
      <c r="W838" s="5"/>
      <c r="X838" s="5"/>
      <c r="Y838" s="5"/>
      <c r="Z838" s="5"/>
      <c r="AA838" s="69"/>
      <c r="AB838" s="69"/>
      <c r="AC838" s="5"/>
      <c r="AD838" s="88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</row>
    <row r="839" spans="1:256" ht="23.1" customHeight="1" x14ac:dyDescent="0.25">
      <c r="A839" s="5"/>
      <c r="B839" s="288"/>
      <c r="C839" s="12"/>
      <c r="D839" s="12"/>
      <c r="E839" s="12"/>
      <c r="F839" s="12"/>
      <c r="G839" s="12"/>
      <c r="H839" s="12"/>
      <c r="I839" s="12"/>
      <c r="J839" s="73"/>
      <c r="K839" s="73"/>
      <c r="L839" s="73"/>
      <c r="M839" s="73"/>
      <c r="N839" s="12"/>
      <c r="O839" s="12"/>
      <c r="P839" s="12"/>
      <c r="Q839" s="12"/>
      <c r="R839" s="12"/>
      <c r="S839" s="12"/>
      <c r="T839" s="12"/>
      <c r="U839" s="5"/>
      <c r="V839" s="5"/>
      <c r="W839" s="5"/>
      <c r="X839" s="5"/>
      <c r="Y839" s="5"/>
      <c r="Z839" s="5"/>
      <c r="AA839" s="69"/>
      <c r="AB839" s="69"/>
      <c r="AC839" s="5"/>
      <c r="AD839" s="88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</row>
    <row r="840" spans="1:256" ht="23.1" customHeight="1" x14ac:dyDescent="0.25">
      <c r="A840" s="5"/>
      <c r="B840" s="288"/>
      <c r="C840" s="12"/>
      <c r="D840" s="12"/>
      <c r="E840" s="12"/>
      <c r="F840" s="12"/>
      <c r="G840" s="12"/>
      <c r="H840" s="12"/>
      <c r="I840" s="12"/>
      <c r="J840" s="73"/>
      <c r="K840" s="73"/>
      <c r="L840" s="73"/>
      <c r="M840" s="73"/>
      <c r="N840" s="12"/>
      <c r="O840" s="12"/>
      <c r="P840" s="12"/>
      <c r="Q840" s="12"/>
      <c r="R840" s="12"/>
      <c r="S840" s="12"/>
      <c r="T840" s="12"/>
      <c r="U840" s="5"/>
      <c r="V840" s="5"/>
      <c r="W840" s="5"/>
      <c r="X840" s="5"/>
      <c r="Y840" s="5"/>
      <c r="Z840" s="5"/>
      <c r="AA840" s="69"/>
      <c r="AB840" s="69"/>
      <c r="AC840" s="5"/>
      <c r="AD840" s="88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</row>
    <row r="841" spans="1:256" ht="23.1" customHeight="1" x14ac:dyDescent="0.25">
      <c r="A841" s="5"/>
      <c r="B841" s="288"/>
      <c r="C841" s="12"/>
      <c r="D841" s="12"/>
      <c r="E841" s="12"/>
      <c r="F841" s="12"/>
      <c r="G841" s="12"/>
      <c r="H841" s="12"/>
      <c r="I841" s="12"/>
      <c r="J841" s="73"/>
      <c r="K841" s="73"/>
      <c r="L841" s="73"/>
      <c r="M841" s="73"/>
      <c r="N841" s="12"/>
      <c r="O841" s="12"/>
      <c r="P841" s="12"/>
      <c r="Q841" s="12"/>
      <c r="R841" s="12"/>
      <c r="S841" s="12"/>
      <c r="T841" s="12"/>
      <c r="U841" s="5"/>
      <c r="V841" s="5"/>
      <c r="W841" s="5"/>
      <c r="X841" s="5"/>
      <c r="Y841" s="5"/>
      <c r="Z841" s="5"/>
      <c r="AA841" s="69"/>
      <c r="AB841" s="69"/>
      <c r="AC841" s="5"/>
      <c r="AD841" s="88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</row>
    <row r="842" spans="1:256" ht="23.1" customHeight="1" x14ac:dyDescent="0.25">
      <c r="A842" s="5"/>
      <c r="B842" s="288"/>
      <c r="C842" s="12"/>
      <c r="D842" s="12"/>
      <c r="E842" s="12"/>
      <c r="F842" s="12"/>
      <c r="G842" s="12"/>
      <c r="H842" s="12"/>
      <c r="I842" s="12"/>
      <c r="J842" s="73"/>
      <c r="K842" s="73"/>
      <c r="L842" s="73"/>
      <c r="M842" s="73"/>
      <c r="N842" s="12"/>
      <c r="O842" s="12"/>
      <c r="P842" s="12"/>
      <c r="Q842" s="12"/>
      <c r="R842" s="12"/>
      <c r="S842" s="12"/>
      <c r="T842" s="12"/>
      <c r="U842" s="5"/>
      <c r="V842" s="5"/>
      <c r="W842" s="5"/>
      <c r="X842" s="5"/>
      <c r="Y842" s="5"/>
      <c r="Z842" s="5"/>
      <c r="AA842" s="69"/>
      <c r="AB842" s="69"/>
      <c r="AC842" s="5"/>
      <c r="AD842" s="88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</row>
    <row r="843" spans="1:256" ht="23.1" customHeight="1" x14ac:dyDescent="0.25">
      <c r="A843" s="5"/>
      <c r="B843" s="288"/>
      <c r="C843" s="12"/>
      <c r="D843" s="12"/>
      <c r="E843" s="12"/>
      <c r="F843" s="12"/>
      <c r="G843" s="12"/>
      <c r="H843" s="12"/>
      <c r="I843" s="12"/>
      <c r="J843" s="73"/>
      <c r="K843" s="73"/>
      <c r="L843" s="73"/>
      <c r="M843" s="73"/>
      <c r="N843" s="12"/>
      <c r="O843" s="12"/>
      <c r="P843" s="12"/>
      <c r="Q843" s="12"/>
      <c r="R843" s="12"/>
      <c r="S843" s="12"/>
      <c r="T843" s="12"/>
      <c r="U843" s="5"/>
      <c r="V843" s="5"/>
      <c r="W843" s="5"/>
      <c r="X843" s="5"/>
      <c r="Y843" s="5"/>
      <c r="Z843" s="5"/>
      <c r="AA843" s="69"/>
      <c r="AB843" s="69"/>
      <c r="AC843" s="5"/>
      <c r="AD843" s="88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</row>
    <row r="844" spans="1:256" ht="23.1" customHeight="1" x14ac:dyDescent="0.25">
      <c r="A844" s="5"/>
      <c r="B844" s="288"/>
      <c r="C844" s="12"/>
      <c r="D844" s="12"/>
      <c r="E844" s="12"/>
      <c r="F844" s="12"/>
      <c r="G844" s="12"/>
      <c r="H844" s="12"/>
      <c r="I844" s="12"/>
      <c r="J844" s="73"/>
      <c r="K844" s="73"/>
      <c r="L844" s="73"/>
      <c r="M844" s="73"/>
      <c r="N844" s="12"/>
      <c r="O844" s="12"/>
      <c r="P844" s="12"/>
      <c r="Q844" s="12"/>
      <c r="R844" s="12"/>
      <c r="S844" s="12"/>
      <c r="T844" s="12"/>
      <c r="U844" s="5"/>
      <c r="V844" s="5"/>
      <c r="W844" s="5"/>
      <c r="X844" s="5"/>
      <c r="Y844" s="5"/>
      <c r="Z844" s="5"/>
      <c r="AA844" s="69"/>
      <c r="AB844" s="69"/>
      <c r="AC844" s="5"/>
      <c r="AD844" s="88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</row>
    <row r="845" spans="1:256" ht="23.1" customHeight="1" x14ac:dyDescent="0.25">
      <c r="A845" s="5"/>
      <c r="B845" s="288"/>
      <c r="C845" s="12"/>
      <c r="D845" s="12"/>
      <c r="E845" s="12"/>
      <c r="F845" s="12"/>
      <c r="G845" s="12"/>
      <c r="H845" s="12"/>
      <c r="I845" s="12"/>
      <c r="J845" s="73"/>
      <c r="K845" s="73"/>
      <c r="L845" s="73"/>
      <c r="M845" s="73"/>
      <c r="N845" s="12"/>
      <c r="O845" s="12"/>
      <c r="P845" s="12"/>
      <c r="Q845" s="12"/>
      <c r="R845" s="12"/>
      <c r="S845" s="12"/>
      <c r="T845" s="12"/>
      <c r="U845" s="5"/>
      <c r="V845" s="5"/>
      <c r="W845" s="5"/>
      <c r="X845" s="5"/>
      <c r="Y845" s="5"/>
      <c r="Z845" s="5"/>
      <c r="AA845" s="69"/>
      <c r="AB845" s="69"/>
      <c r="AC845" s="5"/>
      <c r="AD845" s="88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</row>
    <row r="846" spans="1:256" ht="23.1" customHeight="1" x14ac:dyDescent="0.25">
      <c r="A846" s="5"/>
      <c r="B846" s="288"/>
      <c r="C846" s="12"/>
      <c r="D846" s="12"/>
      <c r="E846" s="12"/>
      <c r="F846" s="12"/>
      <c r="G846" s="12"/>
      <c r="H846" s="12"/>
      <c r="I846" s="12"/>
      <c r="J846" s="73"/>
      <c r="K846" s="73"/>
      <c r="L846" s="73"/>
      <c r="M846" s="73"/>
      <c r="N846" s="12"/>
      <c r="O846" s="12"/>
      <c r="P846" s="12"/>
      <c r="Q846" s="12"/>
      <c r="R846" s="12"/>
      <c r="S846" s="12"/>
      <c r="T846" s="12"/>
      <c r="U846" s="5"/>
      <c r="V846" s="5"/>
      <c r="W846" s="5"/>
      <c r="X846" s="5"/>
      <c r="Y846" s="5"/>
      <c r="Z846" s="5"/>
      <c r="AA846" s="69"/>
      <c r="AB846" s="69"/>
      <c r="AC846" s="5"/>
      <c r="AD846" s="88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</row>
    <row r="847" spans="1:256" ht="23.1" customHeight="1" x14ac:dyDescent="0.25">
      <c r="A847" s="5"/>
      <c r="B847" s="288"/>
      <c r="C847" s="12"/>
      <c r="D847" s="12"/>
      <c r="E847" s="12"/>
      <c r="F847" s="12"/>
      <c r="G847" s="12"/>
      <c r="H847" s="12"/>
      <c r="I847" s="12"/>
      <c r="J847" s="73"/>
      <c r="K847" s="73"/>
      <c r="L847" s="73"/>
      <c r="M847" s="73"/>
      <c r="N847" s="12"/>
      <c r="O847" s="12"/>
      <c r="P847" s="12"/>
      <c r="Q847" s="12"/>
      <c r="R847" s="12"/>
      <c r="S847" s="12"/>
      <c r="T847" s="12"/>
      <c r="U847" s="5"/>
      <c r="V847" s="5"/>
      <c r="W847" s="5"/>
      <c r="X847" s="5"/>
      <c r="Y847" s="5"/>
      <c r="Z847" s="5"/>
      <c r="AA847" s="69"/>
      <c r="AB847" s="69"/>
      <c r="AC847" s="5"/>
      <c r="AD847" s="88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</row>
    <row r="848" spans="1:256" ht="23.1" customHeight="1" x14ac:dyDescent="0.25">
      <c r="A848" s="5"/>
      <c r="B848" s="288"/>
      <c r="C848" s="12"/>
      <c r="D848" s="12"/>
      <c r="E848" s="12"/>
      <c r="F848" s="12"/>
      <c r="G848" s="12"/>
      <c r="H848" s="12"/>
      <c r="I848" s="12"/>
      <c r="J848" s="73"/>
      <c r="K848" s="73"/>
      <c r="L848" s="73"/>
      <c r="M848" s="73"/>
      <c r="N848" s="12"/>
      <c r="O848" s="12"/>
      <c r="P848" s="12"/>
      <c r="Q848" s="12"/>
      <c r="R848" s="12"/>
      <c r="S848" s="12"/>
      <c r="T848" s="12"/>
      <c r="U848" s="5"/>
      <c r="V848" s="5"/>
      <c r="W848" s="5"/>
      <c r="X848" s="5"/>
      <c r="Y848" s="5"/>
      <c r="Z848" s="5"/>
      <c r="AA848" s="69"/>
      <c r="AB848" s="69"/>
      <c r="AC848" s="5"/>
      <c r="AD848" s="88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</row>
    <row r="849" spans="1:256" ht="23.1" customHeight="1" x14ac:dyDescent="0.25">
      <c r="A849" s="5"/>
      <c r="B849" s="288"/>
      <c r="C849" s="12"/>
      <c r="D849" s="12"/>
      <c r="E849" s="12"/>
      <c r="F849" s="12"/>
      <c r="G849" s="12"/>
      <c r="H849" s="12"/>
      <c r="I849" s="12"/>
      <c r="J849" s="73"/>
      <c r="K849" s="73"/>
      <c r="L849" s="73"/>
      <c r="M849" s="73"/>
      <c r="N849" s="12"/>
      <c r="O849" s="12"/>
      <c r="P849" s="12"/>
      <c r="Q849" s="12"/>
      <c r="R849" s="12"/>
      <c r="S849" s="12"/>
      <c r="T849" s="12"/>
      <c r="U849" s="5"/>
      <c r="V849" s="5"/>
      <c r="W849" s="5"/>
      <c r="X849" s="5"/>
      <c r="Y849" s="5"/>
      <c r="Z849" s="5"/>
      <c r="AA849" s="69"/>
      <c r="AB849" s="69"/>
      <c r="AC849" s="5"/>
      <c r="AD849" s="88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</row>
    <row r="850" spans="1:256" ht="23.1" customHeight="1" x14ac:dyDescent="0.25">
      <c r="A850" s="5"/>
      <c r="B850" s="288"/>
      <c r="C850" s="12"/>
      <c r="D850" s="12"/>
      <c r="E850" s="12"/>
      <c r="F850" s="12"/>
      <c r="G850" s="12"/>
      <c r="H850" s="12"/>
      <c r="I850" s="12"/>
      <c r="J850" s="73"/>
      <c r="K850" s="73"/>
      <c r="L850" s="73"/>
      <c r="M850" s="73"/>
      <c r="N850" s="12"/>
      <c r="O850" s="12"/>
      <c r="P850" s="12"/>
      <c r="Q850" s="12"/>
      <c r="R850" s="12"/>
      <c r="S850" s="12"/>
      <c r="T850" s="12"/>
      <c r="U850" s="5"/>
      <c r="V850" s="5"/>
      <c r="W850" s="5"/>
      <c r="X850" s="5"/>
      <c r="Y850" s="5"/>
      <c r="Z850" s="5"/>
      <c r="AA850" s="69"/>
      <c r="AB850" s="69"/>
      <c r="AC850" s="5"/>
      <c r="AD850" s="88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</row>
    <row r="851" spans="1:256" ht="23.1" customHeight="1" x14ac:dyDescent="0.25">
      <c r="A851" s="5"/>
      <c r="B851" s="288"/>
      <c r="C851" s="12"/>
      <c r="D851" s="12"/>
      <c r="E851" s="12"/>
      <c r="F851" s="12"/>
      <c r="G851" s="12"/>
      <c r="H851" s="12"/>
      <c r="I851" s="12"/>
      <c r="J851" s="73"/>
      <c r="K851" s="73"/>
      <c r="L851" s="73"/>
      <c r="M851" s="73"/>
      <c r="N851" s="12"/>
      <c r="O851" s="12"/>
      <c r="P851" s="12"/>
      <c r="Q851" s="12"/>
      <c r="R851" s="12"/>
      <c r="S851" s="12"/>
      <c r="T851" s="12"/>
      <c r="U851" s="5"/>
      <c r="V851" s="5"/>
      <c r="W851" s="5"/>
      <c r="X851" s="5"/>
      <c r="Y851" s="5"/>
      <c r="Z851" s="5"/>
      <c r="AA851" s="69"/>
      <c r="AB851" s="69"/>
      <c r="AC851" s="5"/>
      <c r="AD851" s="88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</row>
    <row r="852" spans="1:256" ht="23.1" customHeight="1" x14ac:dyDescent="0.25">
      <c r="A852" s="5"/>
      <c r="B852" s="288"/>
      <c r="C852" s="12"/>
      <c r="D852" s="12"/>
      <c r="E852" s="12"/>
      <c r="F852" s="12"/>
      <c r="G852" s="12"/>
      <c r="H852" s="12"/>
      <c r="I852" s="12"/>
      <c r="J852" s="73"/>
      <c r="K852" s="73"/>
      <c r="L852" s="73"/>
      <c r="M852" s="73"/>
      <c r="N852" s="12"/>
      <c r="O852" s="12"/>
      <c r="P852" s="12"/>
      <c r="Q852" s="12"/>
      <c r="R852" s="12"/>
      <c r="S852" s="12"/>
      <c r="T852" s="12"/>
      <c r="U852" s="5"/>
      <c r="V852" s="5"/>
      <c r="W852" s="5"/>
      <c r="X852" s="5"/>
      <c r="Y852" s="5"/>
      <c r="Z852" s="5"/>
      <c r="AA852" s="69"/>
      <c r="AB852" s="69"/>
      <c r="AC852" s="5"/>
      <c r="AD852" s="88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</row>
    <row r="853" spans="1:256" ht="23.1" customHeight="1" x14ac:dyDescent="0.25">
      <c r="A853" s="5"/>
      <c r="B853" s="288"/>
      <c r="C853" s="12"/>
      <c r="D853" s="12"/>
      <c r="E853" s="12"/>
      <c r="F853" s="12"/>
      <c r="G853" s="12"/>
      <c r="H853" s="12"/>
      <c r="I853" s="12"/>
      <c r="J853" s="73"/>
      <c r="K853" s="73"/>
      <c r="L853" s="73"/>
      <c r="M853" s="73"/>
      <c r="N853" s="12"/>
      <c r="O853" s="12"/>
      <c r="P853" s="12"/>
      <c r="Q853" s="12"/>
      <c r="R853" s="12"/>
      <c r="S853" s="12"/>
      <c r="T853" s="12"/>
      <c r="U853" s="5"/>
      <c r="V853" s="5"/>
      <c r="W853" s="5"/>
      <c r="X853" s="5"/>
      <c r="Y853" s="5"/>
      <c r="Z853" s="5"/>
      <c r="AA853" s="69"/>
      <c r="AB853" s="69"/>
      <c r="AC853" s="5"/>
      <c r="AD853" s="88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</row>
    <row r="854" spans="1:256" ht="23.1" customHeight="1" x14ac:dyDescent="0.25">
      <c r="A854" s="5"/>
      <c r="B854" s="288"/>
      <c r="C854" s="12"/>
      <c r="D854" s="12"/>
      <c r="E854" s="12"/>
      <c r="F854" s="12"/>
      <c r="G854" s="12"/>
      <c r="H854" s="12"/>
      <c r="I854" s="12"/>
      <c r="J854" s="73"/>
      <c r="K854" s="73"/>
      <c r="L854" s="73"/>
      <c r="M854" s="73"/>
      <c r="N854" s="12"/>
      <c r="O854" s="12"/>
      <c r="P854" s="12"/>
      <c r="Q854" s="12"/>
      <c r="R854" s="12"/>
      <c r="S854" s="12"/>
      <c r="T854" s="12"/>
      <c r="U854" s="5"/>
      <c r="V854" s="5"/>
      <c r="W854" s="5"/>
      <c r="X854" s="5"/>
      <c r="Y854" s="5"/>
      <c r="Z854" s="5"/>
      <c r="AA854" s="69"/>
      <c r="AB854" s="69"/>
      <c r="AC854" s="5"/>
      <c r="AD854" s="88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</row>
    <row r="855" spans="1:256" ht="23.1" customHeight="1" x14ac:dyDescent="0.25">
      <c r="A855" s="5"/>
      <c r="B855" s="288"/>
      <c r="C855" s="12"/>
      <c r="D855" s="12"/>
      <c r="E855" s="12"/>
      <c r="F855" s="12"/>
      <c r="G855" s="12"/>
      <c r="H855" s="12"/>
      <c r="I855" s="12"/>
      <c r="J855" s="73"/>
      <c r="K855" s="73"/>
      <c r="L855" s="73"/>
      <c r="M855" s="73"/>
      <c r="N855" s="12"/>
      <c r="O855" s="12"/>
      <c r="P855" s="12"/>
      <c r="Q855" s="12"/>
      <c r="R855" s="12"/>
      <c r="S855" s="12"/>
      <c r="T855" s="12"/>
      <c r="U855" s="5"/>
      <c r="V855" s="5"/>
      <c r="W855" s="5"/>
      <c r="X855" s="5"/>
      <c r="Y855" s="5"/>
      <c r="Z855" s="5"/>
      <c r="AA855" s="69"/>
      <c r="AB855" s="69"/>
      <c r="AC855" s="5"/>
      <c r="AD855" s="88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</row>
    <row r="856" spans="1:256" ht="23.1" customHeight="1" x14ac:dyDescent="0.25">
      <c r="A856" s="5"/>
      <c r="B856" s="288"/>
      <c r="C856" s="12"/>
      <c r="D856" s="12"/>
      <c r="E856" s="12"/>
      <c r="F856" s="12"/>
      <c r="G856" s="12"/>
      <c r="H856" s="12"/>
      <c r="I856" s="12"/>
      <c r="J856" s="73"/>
      <c r="K856" s="73"/>
      <c r="L856" s="73"/>
      <c r="M856" s="73"/>
      <c r="N856" s="12"/>
      <c r="O856" s="12"/>
      <c r="P856" s="12"/>
      <c r="Q856" s="12"/>
      <c r="R856" s="12"/>
      <c r="S856" s="12"/>
      <c r="T856" s="12"/>
      <c r="U856" s="5"/>
      <c r="V856" s="5"/>
      <c r="W856" s="5"/>
      <c r="X856" s="5"/>
      <c r="Y856" s="5"/>
      <c r="Z856" s="5"/>
      <c r="AA856" s="69"/>
      <c r="AB856" s="69"/>
      <c r="AC856" s="5"/>
      <c r="AD856" s="88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</row>
    <row r="857" spans="1:256" ht="23.1" customHeight="1" x14ac:dyDescent="0.25">
      <c r="A857" s="5"/>
      <c r="B857" s="288"/>
      <c r="C857" s="12"/>
      <c r="D857" s="12"/>
      <c r="E857" s="12"/>
      <c r="F857" s="12"/>
      <c r="G857" s="12"/>
      <c r="H857" s="12"/>
      <c r="I857" s="12"/>
      <c r="J857" s="73"/>
      <c r="K857" s="73"/>
      <c r="L857" s="73"/>
      <c r="M857" s="73"/>
      <c r="N857" s="12"/>
      <c r="O857" s="12"/>
      <c r="P857" s="12"/>
      <c r="Q857" s="12"/>
      <c r="R857" s="12"/>
      <c r="S857" s="12"/>
      <c r="T857" s="12"/>
      <c r="U857" s="5"/>
      <c r="V857" s="5"/>
      <c r="W857" s="5"/>
      <c r="X857" s="5"/>
      <c r="Y857" s="5"/>
      <c r="Z857" s="5"/>
      <c r="AA857" s="69"/>
      <c r="AB857" s="69"/>
      <c r="AC857" s="5"/>
      <c r="AD857" s="88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</row>
    <row r="858" spans="1:256" ht="23.1" customHeight="1" x14ac:dyDescent="0.25">
      <c r="A858" s="5"/>
      <c r="B858" s="288"/>
      <c r="C858" s="12"/>
      <c r="D858" s="12"/>
      <c r="E858" s="12"/>
      <c r="F858" s="12"/>
      <c r="G858" s="12"/>
      <c r="H858" s="12"/>
      <c r="I858" s="12"/>
      <c r="J858" s="73"/>
      <c r="K858" s="73"/>
      <c r="L858" s="73"/>
      <c r="M858" s="73"/>
      <c r="N858" s="12"/>
      <c r="O858" s="12"/>
      <c r="P858" s="12"/>
      <c r="Q858" s="12"/>
      <c r="R858" s="12"/>
      <c r="S858" s="12"/>
      <c r="T858" s="12"/>
      <c r="U858" s="5"/>
      <c r="V858" s="5"/>
      <c r="W858" s="5"/>
      <c r="X858" s="5"/>
      <c r="Y858" s="5"/>
      <c r="Z858" s="5"/>
      <c r="AA858" s="69"/>
      <c r="AB858" s="69"/>
      <c r="AC858" s="5"/>
      <c r="AD858" s="88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</row>
    <row r="859" spans="1:256" ht="23.1" customHeight="1" x14ac:dyDescent="0.25">
      <c r="A859" s="5"/>
      <c r="B859" s="288"/>
      <c r="C859" s="12"/>
      <c r="D859" s="12"/>
      <c r="E859" s="12"/>
      <c r="F859" s="12"/>
      <c r="G859" s="12"/>
      <c r="H859" s="12"/>
      <c r="I859" s="12"/>
      <c r="J859" s="73"/>
      <c r="K859" s="73"/>
      <c r="L859" s="73"/>
      <c r="M859" s="73"/>
      <c r="N859" s="12"/>
      <c r="O859" s="12"/>
      <c r="P859" s="12"/>
      <c r="Q859" s="12"/>
      <c r="R859" s="12"/>
      <c r="S859" s="12"/>
      <c r="T859" s="12"/>
      <c r="U859" s="5"/>
      <c r="V859" s="5"/>
      <c r="W859" s="5"/>
      <c r="X859" s="5"/>
      <c r="Y859" s="5"/>
      <c r="Z859" s="5"/>
      <c r="AA859" s="69"/>
      <c r="AB859" s="69"/>
      <c r="AC859" s="5"/>
      <c r="AD859" s="88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</row>
    <row r="860" spans="1:256" ht="23.1" customHeight="1" x14ac:dyDescent="0.25">
      <c r="A860" s="5"/>
      <c r="B860" s="288"/>
      <c r="C860" s="12"/>
      <c r="D860" s="12"/>
      <c r="E860" s="12"/>
      <c r="F860" s="12"/>
      <c r="G860" s="12"/>
      <c r="H860" s="12"/>
      <c r="I860" s="12"/>
      <c r="J860" s="73"/>
      <c r="K860" s="73"/>
      <c r="L860" s="73"/>
      <c r="M860" s="73"/>
      <c r="N860" s="12"/>
      <c r="O860" s="12"/>
      <c r="P860" s="12"/>
      <c r="Q860" s="12"/>
      <c r="R860" s="12"/>
      <c r="S860" s="12"/>
      <c r="T860" s="12"/>
      <c r="U860" s="5"/>
      <c r="V860" s="5"/>
      <c r="W860" s="5"/>
      <c r="X860" s="5"/>
      <c r="Y860" s="5"/>
      <c r="Z860" s="5"/>
      <c r="AA860" s="69"/>
      <c r="AB860" s="69"/>
      <c r="AC860" s="5"/>
      <c r="AD860" s="88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</row>
    <row r="861" spans="1:256" ht="23.1" customHeight="1" x14ac:dyDescent="0.25">
      <c r="A861" s="5"/>
      <c r="B861" s="288"/>
      <c r="C861" s="12"/>
      <c r="D861" s="12"/>
      <c r="E861" s="12"/>
      <c r="F861" s="12"/>
      <c r="G861" s="12"/>
      <c r="H861" s="12"/>
      <c r="I861" s="12"/>
      <c r="J861" s="73"/>
      <c r="K861" s="73"/>
      <c r="L861" s="73"/>
      <c r="M861" s="73"/>
      <c r="N861" s="12"/>
      <c r="O861" s="12"/>
      <c r="P861" s="12"/>
      <c r="Q861" s="12"/>
      <c r="R861" s="12"/>
      <c r="S861" s="12"/>
      <c r="T861" s="12"/>
      <c r="U861" s="5"/>
      <c r="V861" s="5"/>
      <c r="W861" s="5"/>
      <c r="X861" s="5"/>
      <c r="Y861" s="5"/>
      <c r="Z861" s="5"/>
      <c r="AA861" s="69"/>
      <c r="AB861" s="69"/>
      <c r="AC861" s="5"/>
      <c r="AD861" s="88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</row>
    <row r="862" spans="1:256" ht="23.1" customHeight="1" x14ac:dyDescent="0.25">
      <c r="A862" s="5"/>
      <c r="B862" s="288"/>
      <c r="C862" s="12"/>
      <c r="D862" s="12"/>
      <c r="E862" s="12"/>
      <c r="F862" s="12"/>
      <c r="G862" s="12"/>
      <c r="H862" s="12"/>
      <c r="I862" s="12"/>
      <c r="J862" s="73"/>
      <c r="K862" s="73"/>
      <c r="L862" s="73"/>
      <c r="M862" s="73"/>
      <c r="N862" s="12"/>
      <c r="O862" s="12"/>
      <c r="P862" s="12"/>
      <c r="Q862" s="12"/>
      <c r="R862" s="12"/>
      <c r="S862" s="12"/>
      <c r="T862" s="12"/>
      <c r="U862" s="5"/>
      <c r="V862" s="5"/>
      <c r="W862" s="5"/>
      <c r="X862" s="5"/>
      <c r="Y862" s="5"/>
      <c r="Z862" s="5"/>
      <c r="AA862" s="69"/>
      <c r="AB862" s="69"/>
      <c r="AC862" s="5"/>
      <c r="AD862" s="88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</row>
    <row r="863" spans="1:256" ht="23.1" customHeight="1" x14ac:dyDescent="0.25">
      <c r="A863" s="5"/>
      <c r="B863" s="288"/>
      <c r="C863" s="12"/>
      <c r="D863" s="12"/>
      <c r="E863" s="12"/>
      <c r="F863" s="12"/>
      <c r="G863" s="12"/>
      <c r="H863" s="12"/>
      <c r="I863" s="12"/>
      <c r="J863" s="73"/>
      <c r="K863" s="73"/>
      <c r="L863" s="73"/>
      <c r="M863" s="73"/>
      <c r="N863" s="12"/>
      <c r="O863" s="12"/>
      <c r="P863" s="12"/>
      <c r="Q863" s="12"/>
      <c r="R863" s="12"/>
      <c r="S863" s="12"/>
      <c r="T863" s="12"/>
      <c r="U863" s="5"/>
      <c r="V863" s="5"/>
      <c r="W863" s="5"/>
      <c r="X863" s="5"/>
      <c r="Y863" s="5"/>
      <c r="Z863" s="5"/>
      <c r="AA863" s="69"/>
      <c r="AB863" s="69"/>
      <c r="AC863" s="5"/>
      <c r="AD863" s="88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</row>
    <row r="864" spans="1:256" ht="23.1" customHeight="1" x14ac:dyDescent="0.25">
      <c r="A864" s="5"/>
      <c r="B864" s="288"/>
      <c r="C864" s="12"/>
      <c r="D864" s="12"/>
      <c r="E864" s="12"/>
      <c r="F864" s="12"/>
      <c r="G864" s="12"/>
      <c r="H864" s="12"/>
      <c r="I864" s="12"/>
      <c r="J864" s="73"/>
      <c r="K864" s="73"/>
      <c r="L864" s="73"/>
      <c r="M864" s="73"/>
      <c r="N864" s="12"/>
      <c r="O864" s="12"/>
      <c r="P864" s="12"/>
      <c r="Q864" s="12"/>
      <c r="R864" s="12"/>
      <c r="S864" s="12"/>
      <c r="T864" s="12"/>
      <c r="U864" s="5"/>
      <c r="V864" s="5"/>
      <c r="W864" s="5"/>
      <c r="X864" s="5"/>
      <c r="Y864" s="5"/>
      <c r="Z864" s="5"/>
      <c r="AA864" s="69"/>
      <c r="AB864" s="69"/>
      <c r="AC864" s="5"/>
      <c r="AD864" s="88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</row>
    <row r="865" spans="1:256" ht="23.1" customHeight="1" x14ac:dyDescent="0.25">
      <c r="A865" s="5"/>
      <c r="B865" s="288"/>
      <c r="C865" s="12"/>
      <c r="D865" s="12"/>
      <c r="E865" s="12"/>
      <c r="F865" s="12"/>
      <c r="G865" s="12"/>
      <c r="H865" s="12"/>
      <c r="I865" s="12"/>
      <c r="J865" s="73"/>
      <c r="K865" s="73"/>
      <c r="L865" s="73"/>
      <c r="M865" s="73"/>
      <c r="N865" s="12"/>
      <c r="O865" s="12"/>
      <c r="P865" s="12"/>
      <c r="Q865" s="12"/>
      <c r="R865" s="12"/>
      <c r="S865" s="12"/>
      <c r="T865" s="12"/>
      <c r="U865" s="5"/>
      <c r="V865" s="5"/>
      <c r="W865" s="5"/>
      <c r="X865" s="5"/>
      <c r="Y865" s="5"/>
      <c r="Z865" s="5"/>
      <c r="AA865" s="69"/>
      <c r="AB865" s="69"/>
      <c r="AC865" s="5"/>
      <c r="AD865" s="88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</row>
    <row r="866" spans="1:256" ht="23.1" customHeight="1" x14ac:dyDescent="0.25">
      <c r="A866" s="5"/>
      <c r="B866" s="288"/>
      <c r="C866" s="12"/>
      <c r="D866" s="12"/>
      <c r="E866" s="12"/>
      <c r="F866" s="12"/>
      <c r="G866" s="12"/>
      <c r="H866" s="12"/>
      <c r="I866" s="12"/>
      <c r="J866" s="73"/>
      <c r="K866" s="73"/>
      <c r="L866" s="73"/>
      <c r="M866" s="73"/>
      <c r="N866" s="12"/>
      <c r="O866" s="12"/>
      <c r="P866" s="12"/>
      <c r="Q866" s="12"/>
      <c r="R866" s="12"/>
      <c r="S866" s="12"/>
      <c r="T866" s="12"/>
      <c r="U866" s="5"/>
      <c r="V866" s="5"/>
      <c r="W866" s="5"/>
      <c r="X866" s="5"/>
      <c r="Y866" s="5"/>
      <c r="Z866" s="5"/>
      <c r="AA866" s="69"/>
      <c r="AB866" s="69"/>
      <c r="AC866" s="5"/>
      <c r="AD866" s="88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</row>
    <row r="867" spans="1:256" ht="23.1" customHeight="1" x14ac:dyDescent="0.25">
      <c r="A867" s="5"/>
      <c r="B867" s="288"/>
      <c r="C867" s="12"/>
      <c r="D867" s="12"/>
      <c r="E867" s="12"/>
      <c r="F867" s="12"/>
      <c r="G867" s="12"/>
      <c r="H867" s="12"/>
      <c r="I867" s="12"/>
      <c r="J867" s="73"/>
      <c r="K867" s="73"/>
      <c r="L867" s="73"/>
      <c r="M867" s="73"/>
      <c r="N867" s="12"/>
      <c r="O867" s="12"/>
      <c r="P867" s="12"/>
      <c r="Q867" s="12"/>
      <c r="R867" s="12"/>
      <c r="S867" s="12"/>
      <c r="T867" s="12"/>
      <c r="U867" s="5"/>
      <c r="V867" s="5"/>
      <c r="W867" s="5"/>
      <c r="X867" s="5"/>
      <c r="Y867" s="5"/>
      <c r="Z867" s="5"/>
      <c r="AA867" s="69"/>
      <c r="AB867" s="69"/>
      <c r="AC867" s="5"/>
      <c r="AD867" s="88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</row>
    <row r="868" spans="1:256" ht="23.1" customHeight="1" x14ac:dyDescent="0.25">
      <c r="A868" s="5"/>
      <c r="B868" s="288"/>
      <c r="C868" s="12"/>
      <c r="D868" s="12"/>
      <c r="E868" s="12"/>
      <c r="F868" s="12"/>
      <c r="G868" s="12"/>
      <c r="H868" s="12"/>
      <c r="I868" s="12"/>
      <c r="J868" s="73"/>
      <c r="K868" s="73"/>
      <c r="L868" s="73"/>
      <c r="M868" s="73"/>
      <c r="N868" s="12"/>
      <c r="O868" s="12"/>
      <c r="P868" s="12"/>
      <c r="Q868" s="12"/>
      <c r="R868" s="12"/>
      <c r="S868" s="12"/>
      <c r="T868" s="12"/>
      <c r="U868" s="5"/>
      <c r="V868" s="5"/>
      <c r="W868" s="5"/>
      <c r="X868" s="5"/>
      <c r="Y868" s="5"/>
      <c r="Z868" s="5"/>
      <c r="AA868" s="69"/>
      <c r="AB868" s="69"/>
      <c r="AC868" s="5"/>
      <c r="AD868" s="88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</row>
    <row r="869" spans="1:256" ht="23.1" customHeight="1" x14ac:dyDescent="0.25">
      <c r="A869" s="5"/>
      <c r="B869" s="288"/>
      <c r="C869" s="12"/>
      <c r="D869" s="12"/>
      <c r="E869" s="12"/>
      <c r="F869" s="12"/>
      <c r="G869" s="12"/>
      <c r="H869" s="12"/>
      <c r="I869" s="12"/>
      <c r="J869" s="73"/>
      <c r="K869" s="73"/>
      <c r="L869" s="73"/>
      <c r="M869" s="73"/>
      <c r="N869" s="12"/>
      <c r="O869" s="12"/>
      <c r="P869" s="12"/>
      <c r="Q869" s="12"/>
      <c r="R869" s="12"/>
      <c r="S869" s="12"/>
      <c r="T869" s="12"/>
      <c r="U869" s="5"/>
      <c r="V869" s="5"/>
      <c r="W869" s="5"/>
      <c r="X869" s="5"/>
      <c r="Y869" s="5"/>
      <c r="Z869" s="5"/>
      <c r="AA869" s="69"/>
      <c r="AB869" s="69"/>
      <c r="AC869" s="5"/>
      <c r="AD869" s="88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</row>
    <row r="870" spans="1:256" ht="23.1" customHeight="1" x14ac:dyDescent="0.25">
      <c r="A870" s="5"/>
      <c r="B870" s="288"/>
      <c r="C870" s="12"/>
      <c r="D870" s="12"/>
      <c r="E870" s="12"/>
      <c r="F870" s="12"/>
      <c r="G870" s="12"/>
      <c r="H870" s="12"/>
      <c r="I870" s="12"/>
      <c r="J870" s="73"/>
      <c r="K870" s="73"/>
      <c r="L870" s="73"/>
      <c r="M870" s="73"/>
      <c r="N870" s="12"/>
      <c r="O870" s="12"/>
      <c r="P870" s="12"/>
      <c r="Q870" s="12"/>
      <c r="R870" s="12"/>
      <c r="S870" s="12"/>
      <c r="T870" s="12"/>
      <c r="U870" s="5"/>
      <c r="V870" s="5"/>
      <c r="W870" s="5"/>
      <c r="X870" s="5"/>
      <c r="Y870" s="5"/>
      <c r="Z870" s="5"/>
      <c r="AA870" s="69"/>
      <c r="AB870" s="69"/>
      <c r="AC870" s="5"/>
      <c r="AD870" s="88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</row>
    <row r="871" spans="1:256" ht="23.1" customHeight="1" x14ac:dyDescent="0.25">
      <c r="A871" s="5"/>
      <c r="B871" s="288"/>
      <c r="C871" s="12"/>
      <c r="D871" s="12"/>
      <c r="E871" s="12"/>
      <c r="F871" s="12"/>
      <c r="G871" s="12"/>
      <c r="H871" s="12"/>
      <c r="I871" s="12"/>
      <c r="J871" s="73"/>
      <c r="K871" s="73"/>
      <c r="L871" s="73"/>
      <c r="M871" s="73"/>
      <c r="N871" s="12"/>
      <c r="O871" s="12"/>
      <c r="P871" s="12"/>
      <c r="Q871" s="12"/>
      <c r="R871" s="12"/>
      <c r="S871" s="12"/>
      <c r="T871" s="12"/>
      <c r="U871" s="5"/>
      <c r="V871" s="5"/>
      <c r="W871" s="5"/>
      <c r="X871" s="5"/>
      <c r="Y871" s="5"/>
      <c r="Z871" s="5"/>
      <c r="AA871" s="69"/>
      <c r="AB871" s="69"/>
      <c r="AC871" s="5"/>
      <c r="AD871" s="88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</row>
    <row r="872" spans="1:256" ht="23.1" customHeight="1" x14ac:dyDescent="0.25">
      <c r="A872" s="5"/>
      <c r="B872" s="288"/>
      <c r="C872" s="12"/>
      <c r="D872" s="12"/>
      <c r="E872" s="12"/>
      <c r="F872" s="12"/>
      <c r="G872" s="12"/>
      <c r="H872" s="12"/>
      <c r="I872" s="12"/>
      <c r="J872" s="73"/>
      <c r="K872" s="73"/>
      <c r="L872" s="73"/>
      <c r="M872" s="73"/>
      <c r="N872" s="12"/>
      <c r="O872" s="12"/>
      <c r="P872" s="12"/>
      <c r="Q872" s="12"/>
      <c r="R872" s="12"/>
      <c r="S872" s="12"/>
      <c r="T872" s="12"/>
      <c r="U872" s="5"/>
      <c r="V872" s="5"/>
      <c r="W872" s="5"/>
      <c r="X872" s="5"/>
      <c r="Y872" s="5"/>
      <c r="Z872" s="5"/>
      <c r="AA872" s="69"/>
      <c r="AB872" s="69"/>
      <c r="AC872" s="5"/>
      <c r="AD872" s="88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</row>
    <row r="873" spans="1:256" ht="23.1" customHeight="1" x14ac:dyDescent="0.25">
      <c r="A873" s="5"/>
      <c r="B873" s="288"/>
      <c r="C873" s="12"/>
      <c r="D873" s="12"/>
      <c r="E873" s="12"/>
      <c r="F873" s="12"/>
      <c r="G873" s="12"/>
      <c r="H873" s="12"/>
      <c r="I873" s="12"/>
      <c r="J873" s="73"/>
      <c r="K873" s="73"/>
      <c r="L873" s="73"/>
      <c r="M873" s="73"/>
      <c r="N873" s="12"/>
      <c r="O873" s="12"/>
      <c r="P873" s="12"/>
      <c r="Q873" s="12"/>
      <c r="R873" s="12"/>
      <c r="S873" s="12"/>
      <c r="T873" s="12"/>
      <c r="U873" s="5"/>
      <c r="V873" s="5"/>
      <c r="W873" s="5"/>
      <c r="X873" s="5"/>
      <c r="Y873" s="5"/>
      <c r="Z873" s="5"/>
      <c r="AA873" s="69"/>
      <c r="AB873" s="69"/>
      <c r="AC873" s="5"/>
      <c r="AD873" s="88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</row>
    <row r="874" spans="1:256" ht="23.1" customHeight="1" x14ac:dyDescent="0.25">
      <c r="A874" s="5"/>
      <c r="B874" s="288"/>
      <c r="C874" s="12"/>
      <c r="D874" s="12"/>
      <c r="E874" s="12"/>
      <c r="F874" s="12"/>
      <c r="G874" s="12"/>
      <c r="H874" s="12"/>
      <c r="I874" s="12"/>
      <c r="J874" s="73"/>
      <c r="K874" s="73"/>
      <c r="L874" s="73"/>
      <c r="M874" s="73"/>
      <c r="N874" s="12"/>
      <c r="O874" s="12"/>
      <c r="P874" s="12"/>
      <c r="Q874" s="12"/>
      <c r="R874" s="12"/>
      <c r="S874" s="12"/>
      <c r="T874" s="12"/>
      <c r="U874" s="5"/>
      <c r="V874" s="5"/>
      <c r="W874" s="5"/>
      <c r="X874" s="5"/>
      <c r="Y874" s="5"/>
      <c r="Z874" s="5"/>
      <c r="AA874" s="69"/>
      <c r="AB874" s="69"/>
      <c r="AC874" s="5"/>
      <c r="AD874" s="88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</row>
    <row r="875" spans="1:256" ht="23.1" customHeight="1" x14ac:dyDescent="0.25">
      <c r="A875" s="5"/>
      <c r="B875" s="288"/>
      <c r="C875" s="12"/>
      <c r="D875" s="12"/>
      <c r="E875" s="12"/>
      <c r="F875" s="12"/>
      <c r="G875" s="12"/>
      <c r="H875" s="12"/>
      <c r="I875" s="12"/>
      <c r="J875" s="73"/>
      <c r="K875" s="73"/>
      <c r="L875" s="73"/>
      <c r="M875" s="73"/>
      <c r="N875" s="12"/>
      <c r="O875" s="12"/>
      <c r="P875" s="12"/>
      <c r="Q875" s="12"/>
      <c r="R875" s="12"/>
      <c r="S875" s="12"/>
      <c r="T875" s="12"/>
      <c r="U875" s="5"/>
      <c r="V875" s="5"/>
      <c r="W875" s="5"/>
      <c r="X875" s="5"/>
      <c r="Y875" s="5"/>
      <c r="Z875" s="5"/>
      <c r="AA875" s="69"/>
      <c r="AB875" s="69"/>
      <c r="AC875" s="5"/>
      <c r="AD875" s="88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</row>
    <row r="876" spans="1:256" ht="23.1" customHeight="1" x14ac:dyDescent="0.25">
      <c r="A876" s="5"/>
      <c r="B876" s="288"/>
      <c r="C876" s="12"/>
      <c r="D876" s="12"/>
      <c r="E876" s="12"/>
      <c r="F876" s="12"/>
      <c r="G876" s="12"/>
      <c r="H876" s="12"/>
      <c r="I876" s="12"/>
      <c r="J876" s="73"/>
      <c r="K876" s="73"/>
      <c r="L876" s="73"/>
      <c r="M876" s="73"/>
      <c r="N876" s="12"/>
      <c r="O876" s="12"/>
      <c r="P876" s="12"/>
      <c r="Q876" s="12"/>
      <c r="R876" s="12"/>
      <c r="S876" s="12"/>
      <c r="T876" s="12"/>
      <c r="U876" s="5"/>
      <c r="V876" s="5"/>
      <c r="W876" s="5"/>
      <c r="X876" s="5"/>
      <c r="Y876" s="5"/>
      <c r="Z876" s="5"/>
      <c r="AA876" s="69"/>
      <c r="AB876" s="69"/>
      <c r="AC876" s="5"/>
      <c r="AD876" s="88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</row>
    <row r="877" spans="1:256" ht="23.1" customHeight="1" x14ac:dyDescent="0.25">
      <c r="A877" s="5"/>
      <c r="B877" s="288"/>
      <c r="C877" s="12"/>
      <c r="D877" s="12"/>
      <c r="E877" s="12"/>
      <c r="F877" s="12"/>
      <c r="G877" s="12"/>
      <c r="H877" s="12"/>
      <c r="I877" s="12"/>
      <c r="J877" s="73"/>
      <c r="K877" s="73"/>
      <c r="L877" s="73"/>
      <c r="M877" s="73"/>
      <c r="N877" s="12"/>
      <c r="O877" s="12"/>
      <c r="P877" s="12"/>
      <c r="Q877" s="12"/>
      <c r="R877" s="12"/>
      <c r="S877" s="12"/>
      <c r="T877" s="12"/>
      <c r="U877" s="5"/>
      <c r="V877" s="5"/>
      <c r="W877" s="5"/>
      <c r="X877" s="5"/>
      <c r="Y877" s="5"/>
      <c r="Z877" s="5"/>
      <c r="AA877" s="69"/>
      <c r="AB877" s="69"/>
      <c r="AC877" s="5"/>
      <c r="AD877" s="88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</row>
    <row r="878" spans="1:256" ht="23.1" customHeight="1" x14ac:dyDescent="0.25">
      <c r="A878" s="5"/>
      <c r="B878" s="288"/>
      <c r="C878" s="12"/>
      <c r="D878" s="12"/>
      <c r="E878" s="12"/>
      <c r="F878" s="12"/>
      <c r="G878" s="12"/>
      <c r="H878" s="12"/>
      <c r="I878" s="12"/>
      <c r="J878" s="73"/>
      <c r="K878" s="73"/>
      <c r="L878" s="73"/>
      <c r="M878" s="73"/>
      <c r="N878" s="12"/>
      <c r="O878" s="12"/>
      <c r="P878" s="12"/>
      <c r="Q878" s="12"/>
      <c r="R878" s="12"/>
      <c r="S878" s="12"/>
      <c r="T878" s="12"/>
      <c r="U878" s="5"/>
      <c r="V878" s="5"/>
      <c r="W878" s="5"/>
      <c r="X878" s="5"/>
      <c r="Y878" s="5"/>
      <c r="Z878" s="5"/>
      <c r="AA878" s="69"/>
      <c r="AB878" s="69"/>
      <c r="AC878" s="5"/>
      <c r="AD878" s="88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</row>
    <row r="879" spans="1:256" ht="23.1" customHeight="1" x14ac:dyDescent="0.25">
      <c r="A879" s="5"/>
      <c r="B879" s="288"/>
      <c r="C879" s="12"/>
      <c r="D879" s="12"/>
      <c r="E879" s="12"/>
      <c r="F879" s="12"/>
      <c r="G879" s="12"/>
      <c r="H879" s="12"/>
      <c r="I879" s="12"/>
      <c r="J879" s="73"/>
      <c r="K879" s="73"/>
      <c r="L879" s="73"/>
      <c r="M879" s="73"/>
      <c r="N879" s="12"/>
      <c r="O879" s="12"/>
      <c r="P879" s="12"/>
      <c r="Q879" s="12"/>
      <c r="R879" s="12"/>
      <c r="S879" s="12"/>
      <c r="T879" s="12"/>
      <c r="U879" s="5"/>
      <c r="V879" s="5"/>
      <c r="W879" s="5"/>
      <c r="X879" s="5"/>
      <c r="Y879" s="5"/>
      <c r="Z879" s="5"/>
      <c r="AA879" s="69"/>
      <c r="AB879" s="69"/>
      <c r="AC879" s="5"/>
      <c r="AD879" s="88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</row>
    <row r="880" spans="1:256" ht="23.1" customHeight="1" x14ac:dyDescent="0.25">
      <c r="A880" s="5"/>
      <c r="B880" s="288"/>
      <c r="C880" s="12"/>
      <c r="D880" s="12"/>
      <c r="E880" s="12"/>
      <c r="F880" s="12"/>
      <c r="G880" s="12"/>
      <c r="H880" s="12"/>
      <c r="I880" s="12"/>
      <c r="J880" s="73"/>
      <c r="K880" s="73"/>
      <c r="L880" s="73"/>
      <c r="M880" s="73"/>
      <c r="N880" s="12"/>
      <c r="O880" s="12"/>
      <c r="P880" s="12"/>
      <c r="Q880" s="12"/>
      <c r="R880" s="12"/>
      <c r="S880" s="12"/>
      <c r="T880" s="12"/>
      <c r="U880" s="5"/>
      <c r="V880" s="5"/>
      <c r="W880" s="5"/>
      <c r="X880" s="5"/>
      <c r="Y880" s="5"/>
      <c r="Z880" s="5"/>
      <c r="AA880" s="69"/>
      <c r="AB880" s="69"/>
      <c r="AC880" s="5"/>
      <c r="AD880" s="88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</row>
    <row r="881" spans="1:256" ht="23.1" customHeight="1" x14ac:dyDescent="0.25">
      <c r="A881" s="5"/>
      <c r="B881" s="288"/>
      <c r="C881" s="12"/>
      <c r="D881" s="12"/>
      <c r="E881" s="12"/>
      <c r="F881" s="12"/>
      <c r="G881" s="12"/>
      <c r="H881" s="12"/>
      <c r="I881" s="12"/>
      <c r="J881" s="73"/>
      <c r="K881" s="73"/>
      <c r="L881" s="73"/>
      <c r="M881" s="73"/>
      <c r="N881" s="12"/>
      <c r="O881" s="12"/>
      <c r="P881" s="12"/>
      <c r="Q881" s="12"/>
      <c r="R881" s="12"/>
      <c r="S881" s="12"/>
      <c r="T881" s="12"/>
      <c r="U881" s="5"/>
      <c r="V881" s="5"/>
      <c r="W881" s="5"/>
      <c r="X881" s="5"/>
      <c r="Y881" s="5"/>
      <c r="Z881" s="5"/>
      <c r="AA881" s="69"/>
      <c r="AB881" s="69"/>
      <c r="AC881" s="5"/>
      <c r="AD881" s="88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</row>
    <row r="882" spans="1:256" ht="23.1" customHeight="1" x14ac:dyDescent="0.25">
      <c r="A882" s="5"/>
      <c r="B882" s="288"/>
      <c r="C882" s="12"/>
      <c r="D882" s="12"/>
      <c r="E882" s="12"/>
      <c r="F882" s="12"/>
      <c r="G882" s="12"/>
      <c r="H882" s="12"/>
      <c r="I882" s="12"/>
      <c r="J882" s="73"/>
      <c r="K882" s="73"/>
      <c r="L882" s="73"/>
      <c r="M882" s="73"/>
      <c r="N882" s="12"/>
      <c r="O882" s="12"/>
      <c r="P882" s="12"/>
      <c r="Q882" s="12"/>
      <c r="R882" s="12"/>
      <c r="S882" s="12"/>
      <c r="T882" s="12"/>
      <c r="U882" s="5"/>
      <c r="V882" s="5"/>
      <c r="W882" s="5"/>
      <c r="X882" s="5"/>
      <c r="Y882" s="5"/>
      <c r="Z882" s="5"/>
      <c r="AA882" s="69"/>
      <c r="AB882" s="69"/>
      <c r="AC882" s="5"/>
      <c r="AD882" s="88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</row>
    <row r="883" spans="1:256" ht="23.1" customHeight="1" x14ac:dyDescent="0.25">
      <c r="A883" s="5"/>
      <c r="B883" s="288"/>
      <c r="C883" s="12"/>
      <c r="D883" s="12"/>
      <c r="E883" s="12"/>
      <c r="F883" s="12"/>
      <c r="G883" s="12"/>
      <c r="H883" s="12"/>
      <c r="I883" s="12"/>
      <c r="J883" s="73"/>
      <c r="K883" s="73"/>
      <c r="L883" s="73"/>
      <c r="M883" s="73"/>
      <c r="N883" s="12"/>
      <c r="O883" s="12"/>
      <c r="P883" s="12"/>
      <c r="Q883" s="12"/>
      <c r="R883" s="12"/>
      <c r="S883" s="12"/>
      <c r="T883" s="12"/>
      <c r="U883" s="5"/>
      <c r="V883" s="5"/>
      <c r="W883" s="5"/>
      <c r="X883" s="5"/>
      <c r="Y883" s="5"/>
      <c r="Z883" s="5"/>
      <c r="AA883" s="69"/>
      <c r="AB883" s="69"/>
      <c r="AC883" s="5"/>
      <c r="AD883" s="88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</row>
    <row r="884" spans="1:256" ht="23.1" customHeight="1" x14ac:dyDescent="0.25">
      <c r="A884" s="5"/>
      <c r="B884" s="288"/>
      <c r="C884" s="12"/>
      <c r="D884" s="12"/>
      <c r="E884" s="12"/>
      <c r="F884" s="12"/>
      <c r="G884" s="12"/>
      <c r="H884" s="12"/>
      <c r="I884" s="12"/>
      <c r="J884" s="73"/>
      <c r="K884" s="73"/>
      <c r="L884" s="73"/>
      <c r="M884" s="73"/>
      <c r="N884" s="12"/>
      <c r="O884" s="12"/>
      <c r="P884" s="12"/>
      <c r="Q884" s="12"/>
      <c r="R884" s="12"/>
      <c r="S884" s="12"/>
      <c r="T884" s="12"/>
      <c r="U884" s="5"/>
      <c r="V884" s="5"/>
      <c r="W884" s="5"/>
      <c r="X884" s="5"/>
      <c r="Y884" s="5"/>
      <c r="Z884" s="5"/>
      <c r="AA884" s="69"/>
      <c r="AB884" s="69"/>
      <c r="AC884" s="5"/>
      <c r="AD884" s="88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</row>
    <row r="885" spans="1:256" ht="23.1" customHeight="1" x14ac:dyDescent="0.25">
      <c r="A885" s="5"/>
      <c r="B885" s="288"/>
      <c r="C885" s="12"/>
      <c r="D885" s="12"/>
      <c r="E885" s="12"/>
      <c r="F885" s="12"/>
      <c r="G885" s="12"/>
      <c r="H885" s="12"/>
      <c r="I885" s="12"/>
      <c r="J885" s="73"/>
      <c r="K885" s="73"/>
      <c r="L885" s="73"/>
      <c r="M885" s="73"/>
      <c r="N885" s="12"/>
      <c r="O885" s="12"/>
      <c r="P885" s="12"/>
      <c r="Q885" s="12"/>
      <c r="R885" s="12"/>
      <c r="S885" s="12"/>
      <c r="T885" s="12"/>
      <c r="U885" s="5"/>
      <c r="V885" s="5"/>
      <c r="W885" s="5"/>
      <c r="X885" s="5"/>
      <c r="Y885" s="5"/>
      <c r="Z885" s="5"/>
      <c r="AA885" s="69"/>
      <c r="AB885" s="69"/>
      <c r="AC885" s="5"/>
      <c r="AD885" s="88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</row>
    <row r="886" spans="1:256" ht="23.1" customHeight="1" x14ac:dyDescent="0.25">
      <c r="A886" s="5"/>
      <c r="B886" s="288"/>
      <c r="C886" s="12"/>
      <c r="D886" s="12"/>
      <c r="E886" s="12"/>
      <c r="F886" s="12"/>
      <c r="G886" s="12"/>
      <c r="H886" s="12"/>
      <c r="I886" s="12"/>
      <c r="J886" s="73"/>
      <c r="K886" s="73"/>
      <c r="L886" s="73"/>
      <c r="M886" s="73"/>
      <c r="N886" s="12"/>
      <c r="O886" s="12"/>
      <c r="P886" s="12"/>
      <c r="Q886" s="12"/>
      <c r="R886" s="12"/>
      <c r="S886" s="12"/>
      <c r="T886" s="12"/>
      <c r="U886" s="5"/>
      <c r="V886" s="5"/>
      <c r="W886" s="5"/>
      <c r="X886" s="5"/>
      <c r="Y886" s="5"/>
      <c r="Z886" s="5"/>
      <c r="AA886" s="69"/>
      <c r="AB886" s="69"/>
      <c r="AC886" s="5"/>
      <c r="AD886" s="88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</row>
    <row r="887" spans="1:256" ht="23.1" customHeight="1" x14ac:dyDescent="0.25">
      <c r="A887" s="5"/>
      <c r="B887" s="288"/>
      <c r="C887" s="12"/>
      <c r="D887" s="12"/>
      <c r="E887" s="12"/>
      <c r="F887" s="12"/>
      <c r="G887" s="12"/>
      <c r="H887" s="12"/>
      <c r="I887" s="12"/>
      <c r="J887" s="73"/>
      <c r="K887" s="73"/>
      <c r="L887" s="73"/>
      <c r="M887" s="73"/>
      <c r="N887" s="12"/>
      <c r="O887" s="12"/>
      <c r="P887" s="12"/>
      <c r="Q887" s="12"/>
      <c r="R887" s="12"/>
      <c r="S887" s="12"/>
      <c r="T887" s="12"/>
      <c r="U887" s="5"/>
      <c r="V887" s="5"/>
      <c r="W887" s="5"/>
      <c r="X887" s="5"/>
      <c r="Y887" s="5"/>
      <c r="Z887" s="5"/>
      <c r="AA887" s="69"/>
      <c r="AB887" s="69"/>
      <c r="AC887" s="5"/>
      <c r="AD887" s="88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</row>
    <row r="888" spans="1:256" ht="23.1" customHeight="1" x14ac:dyDescent="0.25">
      <c r="A888" s="5"/>
      <c r="B888" s="288"/>
      <c r="C888" s="12"/>
      <c r="D888" s="12"/>
      <c r="E888" s="12"/>
      <c r="F888" s="12"/>
      <c r="G888" s="12"/>
      <c r="H888" s="12"/>
      <c r="I888" s="12"/>
      <c r="J888" s="73"/>
      <c r="K888" s="73"/>
      <c r="L888" s="73"/>
      <c r="M888" s="73"/>
      <c r="N888" s="12"/>
      <c r="O888" s="12"/>
      <c r="P888" s="12"/>
      <c r="Q888" s="12"/>
      <c r="R888" s="12"/>
      <c r="S888" s="12"/>
      <c r="T888" s="12"/>
      <c r="U888" s="5"/>
      <c r="V888" s="5"/>
      <c r="W888" s="5"/>
      <c r="X888" s="5"/>
      <c r="Y888" s="5"/>
      <c r="Z888" s="5"/>
      <c r="AA888" s="69"/>
      <c r="AB888" s="69"/>
      <c r="AC888" s="5"/>
      <c r="AD888" s="88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</row>
    <row r="889" spans="1:256" ht="23.1" customHeight="1" x14ac:dyDescent="0.25">
      <c r="A889" s="5"/>
      <c r="B889" s="288"/>
      <c r="C889" s="12"/>
      <c r="D889" s="12"/>
      <c r="E889" s="12"/>
      <c r="F889" s="12"/>
      <c r="G889" s="12"/>
      <c r="H889" s="12"/>
      <c r="I889" s="12"/>
      <c r="J889" s="73"/>
      <c r="K889" s="73"/>
      <c r="L889" s="73"/>
      <c r="M889" s="73"/>
      <c r="N889" s="12"/>
      <c r="O889" s="12"/>
      <c r="P889" s="12"/>
      <c r="Q889" s="12"/>
      <c r="R889" s="12"/>
      <c r="S889" s="12"/>
      <c r="T889" s="12"/>
      <c r="U889" s="5"/>
      <c r="V889" s="5"/>
      <c r="W889" s="5"/>
      <c r="X889" s="5"/>
      <c r="Y889" s="5"/>
      <c r="Z889" s="5"/>
      <c r="AA889" s="69"/>
      <c r="AB889" s="69"/>
      <c r="AC889" s="5"/>
      <c r="AD889" s="88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</row>
    <row r="890" spans="1:256" ht="23.1" customHeight="1" x14ac:dyDescent="0.25">
      <c r="A890" s="5"/>
      <c r="B890" s="288"/>
      <c r="C890" s="12"/>
      <c r="D890" s="12"/>
      <c r="E890" s="12"/>
      <c r="F890" s="12"/>
      <c r="G890" s="12"/>
      <c r="H890" s="12"/>
      <c r="I890" s="12"/>
      <c r="J890" s="73"/>
      <c r="K890" s="73"/>
      <c r="L890" s="73"/>
      <c r="M890" s="73"/>
      <c r="N890" s="12"/>
      <c r="O890" s="12"/>
      <c r="P890" s="12"/>
      <c r="Q890" s="12"/>
      <c r="R890" s="12"/>
      <c r="S890" s="12"/>
      <c r="T890" s="12"/>
      <c r="U890" s="5"/>
      <c r="V890" s="5"/>
      <c r="W890" s="5"/>
      <c r="X890" s="5"/>
      <c r="Y890" s="5"/>
      <c r="Z890" s="5"/>
      <c r="AA890" s="69"/>
      <c r="AB890" s="69"/>
      <c r="AC890" s="5"/>
      <c r="AD890" s="88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</row>
    <row r="891" spans="1:256" ht="23.1" customHeight="1" x14ac:dyDescent="0.25">
      <c r="A891" s="5"/>
      <c r="B891" s="288"/>
      <c r="C891" s="12"/>
      <c r="D891" s="12"/>
      <c r="E891" s="12"/>
      <c r="F891" s="12"/>
      <c r="G891" s="12"/>
      <c r="H891" s="12"/>
      <c r="I891" s="12"/>
      <c r="J891" s="73"/>
      <c r="K891" s="73"/>
      <c r="L891" s="73"/>
      <c r="M891" s="73"/>
      <c r="N891" s="12"/>
      <c r="O891" s="12"/>
      <c r="P891" s="12"/>
      <c r="Q891" s="12"/>
      <c r="R891" s="12"/>
      <c r="S891" s="12"/>
      <c r="T891" s="12"/>
      <c r="U891" s="5"/>
      <c r="V891" s="5"/>
      <c r="W891" s="5"/>
      <c r="X891" s="5"/>
      <c r="Y891" s="5"/>
      <c r="Z891" s="5"/>
      <c r="AA891" s="69"/>
      <c r="AB891" s="69"/>
      <c r="AC891" s="5"/>
      <c r="AD891" s="88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</row>
    <row r="892" spans="1:256" ht="23.1" customHeight="1" x14ac:dyDescent="0.25">
      <c r="A892" s="5"/>
      <c r="B892" s="288"/>
      <c r="C892" s="12"/>
      <c r="D892" s="12"/>
      <c r="E892" s="12"/>
      <c r="F892" s="12"/>
      <c r="G892" s="12"/>
      <c r="H892" s="12"/>
      <c r="I892" s="12"/>
      <c r="J892" s="73"/>
      <c r="K892" s="73"/>
      <c r="L892" s="73"/>
      <c r="M892" s="73"/>
      <c r="N892" s="12"/>
      <c r="O892" s="12"/>
      <c r="P892" s="12"/>
      <c r="Q892" s="12"/>
      <c r="R892" s="12"/>
      <c r="S892" s="12"/>
      <c r="T892" s="12"/>
      <c r="U892" s="5"/>
      <c r="V892" s="5"/>
      <c r="W892" s="5"/>
      <c r="X892" s="5"/>
      <c r="Y892" s="5"/>
      <c r="Z892" s="5"/>
      <c r="AA892" s="69"/>
      <c r="AB892" s="69"/>
      <c r="AC892" s="5"/>
      <c r="AD892" s="88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</row>
    <row r="893" spans="1:256" ht="23.1" customHeight="1" x14ac:dyDescent="0.25">
      <c r="A893" s="5"/>
      <c r="B893" s="288"/>
      <c r="C893" s="12"/>
      <c r="D893" s="12"/>
      <c r="E893" s="12"/>
      <c r="F893" s="12"/>
      <c r="G893" s="12"/>
      <c r="H893" s="12"/>
      <c r="I893" s="12"/>
      <c r="J893" s="73"/>
      <c r="K893" s="73"/>
      <c r="L893" s="73"/>
      <c r="M893" s="73"/>
      <c r="N893" s="12"/>
      <c r="O893" s="12"/>
      <c r="P893" s="12"/>
      <c r="Q893" s="12"/>
      <c r="R893" s="12"/>
      <c r="S893" s="12"/>
      <c r="T893" s="12"/>
      <c r="U893" s="5"/>
      <c r="V893" s="5"/>
      <c r="W893" s="5"/>
      <c r="X893" s="5"/>
      <c r="Y893" s="5"/>
      <c r="Z893" s="5"/>
      <c r="AA893" s="69"/>
      <c r="AB893" s="69"/>
      <c r="AC893" s="5"/>
      <c r="AD893" s="88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</row>
    <row r="894" spans="1:256" ht="23.1" customHeight="1" x14ac:dyDescent="0.25">
      <c r="A894" s="5"/>
      <c r="B894" s="288"/>
      <c r="C894" s="12"/>
      <c r="D894" s="12"/>
      <c r="E894" s="12"/>
      <c r="F894" s="12"/>
      <c r="G894" s="12"/>
      <c r="H894" s="12"/>
      <c r="I894" s="12"/>
      <c r="J894" s="73"/>
      <c r="K894" s="73"/>
      <c r="L894" s="73"/>
      <c r="M894" s="73"/>
      <c r="N894" s="12"/>
      <c r="O894" s="12"/>
      <c r="P894" s="12"/>
      <c r="Q894" s="12"/>
      <c r="R894" s="12"/>
      <c r="S894" s="12"/>
      <c r="T894" s="12"/>
      <c r="U894" s="5"/>
      <c r="V894" s="5"/>
      <c r="W894" s="5"/>
      <c r="X894" s="5"/>
      <c r="Y894" s="5"/>
      <c r="Z894" s="5"/>
      <c r="AA894" s="69"/>
      <c r="AB894" s="69"/>
      <c r="AC894" s="5"/>
      <c r="AD894" s="88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</row>
    <row r="895" spans="1:256" ht="23.1" customHeight="1" x14ac:dyDescent="0.25">
      <c r="A895" s="5"/>
      <c r="B895" s="288"/>
      <c r="C895" s="12"/>
      <c r="D895" s="12"/>
      <c r="E895" s="12"/>
      <c r="F895" s="12"/>
      <c r="G895" s="12"/>
      <c r="H895" s="12"/>
      <c r="I895" s="12"/>
      <c r="J895" s="73"/>
      <c r="K895" s="73"/>
      <c r="L895" s="73"/>
      <c r="M895" s="73"/>
      <c r="N895" s="12"/>
      <c r="O895" s="12"/>
      <c r="P895" s="12"/>
      <c r="Q895" s="12"/>
      <c r="R895" s="12"/>
      <c r="S895" s="12"/>
      <c r="T895" s="12"/>
      <c r="U895" s="5"/>
      <c r="V895" s="5"/>
      <c r="W895" s="5"/>
      <c r="X895" s="5"/>
      <c r="Y895" s="5"/>
      <c r="Z895" s="5"/>
      <c r="AA895" s="69"/>
      <c r="AB895" s="69"/>
      <c r="AC895" s="5"/>
      <c r="AD895" s="88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</row>
    <row r="896" spans="1:256" ht="23.1" customHeight="1" x14ac:dyDescent="0.25">
      <c r="A896" s="5"/>
      <c r="B896" s="288"/>
      <c r="C896" s="12"/>
      <c r="D896" s="12"/>
      <c r="E896" s="12"/>
      <c r="F896" s="12"/>
      <c r="G896" s="12"/>
      <c r="H896" s="12"/>
      <c r="I896" s="12"/>
      <c r="J896" s="73"/>
      <c r="K896" s="73"/>
      <c r="L896" s="73"/>
      <c r="M896" s="73"/>
      <c r="N896" s="12"/>
      <c r="O896" s="12"/>
      <c r="P896" s="12"/>
      <c r="Q896" s="12"/>
      <c r="R896" s="12"/>
      <c r="S896" s="12"/>
      <c r="T896" s="12"/>
      <c r="U896" s="5"/>
      <c r="V896" s="5"/>
      <c r="W896" s="5"/>
      <c r="X896" s="5"/>
      <c r="Y896" s="5"/>
      <c r="Z896" s="5"/>
      <c r="AA896" s="69"/>
      <c r="AB896" s="69"/>
      <c r="AC896" s="5"/>
      <c r="AD896" s="88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</row>
    <row r="897" spans="1:256" ht="23.1" customHeight="1" x14ac:dyDescent="0.25">
      <c r="A897" s="5"/>
      <c r="B897" s="288"/>
      <c r="C897" s="12"/>
      <c r="D897" s="12"/>
      <c r="E897" s="12"/>
      <c r="F897" s="12"/>
      <c r="G897" s="12"/>
      <c r="H897" s="12"/>
      <c r="I897" s="12"/>
      <c r="J897" s="73"/>
      <c r="K897" s="73"/>
      <c r="L897" s="73"/>
      <c r="M897" s="73"/>
      <c r="N897" s="12"/>
      <c r="O897" s="12"/>
      <c r="P897" s="12"/>
      <c r="Q897" s="12"/>
      <c r="R897" s="12"/>
      <c r="S897" s="12"/>
      <c r="T897" s="12"/>
      <c r="U897" s="5"/>
      <c r="V897" s="5"/>
      <c r="W897" s="5"/>
      <c r="X897" s="5"/>
      <c r="Y897" s="5"/>
      <c r="Z897" s="5"/>
      <c r="AA897" s="69"/>
      <c r="AB897" s="69"/>
      <c r="AC897" s="5"/>
      <c r="AD897" s="88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</row>
    <row r="898" spans="1:256" ht="23.1" customHeight="1" x14ac:dyDescent="0.25">
      <c r="A898" s="5"/>
      <c r="B898" s="288"/>
      <c r="C898" s="12"/>
      <c r="D898" s="12"/>
      <c r="E898" s="12"/>
      <c r="F898" s="12"/>
      <c r="G898" s="12"/>
      <c r="H898" s="12"/>
      <c r="I898" s="12"/>
      <c r="J898" s="73"/>
      <c r="K898" s="73"/>
      <c r="L898" s="73"/>
      <c r="M898" s="73"/>
      <c r="N898" s="12"/>
      <c r="O898" s="12"/>
      <c r="P898" s="12"/>
      <c r="Q898" s="12"/>
      <c r="R898" s="12"/>
      <c r="S898" s="12"/>
      <c r="T898" s="12"/>
      <c r="U898" s="5"/>
      <c r="V898" s="5"/>
      <c r="W898" s="5"/>
      <c r="X898" s="5"/>
      <c r="Y898" s="5"/>
      <c r="Z898" s="5"/>
      <c r="AA898" s="69"/>
      <c r="AB898" s="69"/>
      <c r="AC898" s="5"/>
      <c r="AD898" s="88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</row>
    <row r="899" spans="1:256" ht="23.1" customHeight="1" x14ac:dyDescent="0.25">
      <c r="A899" s="5"/>
      <c r="B899" s="288"/>
      <c r="C899" s="12"/>
      <c r="D899" s="12"/>
      <c r="E899" s="12"/>
      <c r="F899" s="12"/>
      <c r="G899" s="12"/>
      <c r="H899" s="12"/>
      <c r="I899" s="12"/>
      <c r="J899" s="73"/>
      <c r="K899" s="73"/>
      <c r="L899" s="73"/>
      <c r="M899" s="73"/>
      <c r="N899" s="12"/>
      <c r="O899" s="12"/>
      <c r="P899" s="12"/>
      <c r="Q899" s="12"/>
      <c r="R899" s="12"/>
      <c r="S899" s="12"/>
      <c r="T899" s="12"/>
      <c r="U899" s="5"/>
      <c r="V899" s="5"/>
      <c r="W899" s="5"/>
      <c r="X899" s="5"/>
      <c r="Y899" s="5"/>
      <c r="Z899" s="5"/>
      <c r="AA899" s="69"/>
      <c r="AB899" s="69"/>
      <c r="AC899" s="5"/>
      <c r="AD899" s="88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</row>
    <row r="900" spans="1:256" ht="23.1" customHeight="1" x14ac:dyDescent="0.25">
      <c r="A900" s="5"/>
      <c r="B900" s="288"/>
      <c r="C900" s="12"/>
      <c r="D900" s="12"/>
      <c r="E900" s="12"/>
      <c r="F900" s="12"/>
      <c r="G900" s="12"/>
      <c r="H900" s="12"/>
      <c r="I900" s="12"/>
      <c r="J900" s="73"/>
      <c r="K900" s="73"/>
      <c r="L900" s="73"/>
      <c r="M900" s="73"/>
      <c r="N900" s="12"/>
      <c r="O900" s="12"/>
      <c r="P900" s="12"/>
      <c r="Q900" s="12"/>
      <c r="R900" s="12"/>
      <c r="S900" s="12"/>
      <c r="T900" s="12"/>
      <c r="U900" s="5"/>
      <c r="V900" s="5"/>
      <c r="W900" s="5"/>
      <c r="X900" s="5"/>
      <c r="Y900" s="5"/>
      <c r="Z900" s="5"/>
      <c r="AA900" s="69"/>
      <c r="AB900" s="69"/>
      <c r="AC900" s="5"/>
      <c r="AD900" s="88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</row>
    <row r="901" spans="1:256" ht="23.1" customHeight="1" x14ac:dyDescent="0.25">
      <c r="A901" s="5"/>
      <c r="B901" s="288"/>
      <c r="C901" s="12"/>
      <c r="D901" s="12"/>
      <c r="E901" s="12"/>
      <c r="F901" s="12"/>
      <c r="G901" s="12"/>
      <c r="H901" s="12"/>
      <c r="I901" s="12"/>
      <c r="J901" s="73"/>
      <c r="K901" s="73"/>
      <c r="L901" s="73"/>
      <c r="M901" s="73"/>
      <c r="N901" s="12"/>
      <c r="O901" s="12"/>
      <c r="P901" s="12"/>
      <c r="Q901" s="12"/>
      <c r="R901" s="12"/>
      <c r="S901" s="12"/>
      <c r="T901" s="12"/>
      <c r="U901" s="5"/>
      <c r="V901" s="5"/>
      <c r="W901" s="5"/>
      <c r="X901" s="5"/>
      <c r="Y901" s="5"/>
      <c r="Z901" s="5"/>
      <c r="AA901" s="69"/>
      <c r="AB901" s="69"/>
      <c r="AC901" s="5"/>
      <c r="AD901" s="88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</row>
    <row r="902" spans="1:256" ht="23.1" customHeight="1" x14ac:dyDescent="0.25">
      <c r="A902" s="5"/>
      <c r="B902" s="288"/>
      <c r="C902" s="12"/>
      <c r="D902" s="12"/>
      <c r="E902" s="12"/>
      <c r="F902" s="12"/>
      <c r="G902" s="12"/>
      <c r="H902" s="12"/>
      <c r="I902" s="12"/>
      <c r="J902" s="73"/>
      <c r="K902" s="73"/>
      <c r="L902" s="73"/>
      <c r="M902" s="73"/>
      <c r="N902" s="12"/>
      <c r="O902" s="12"/>
      <c r="P902" s="12"/>
      <c r="Q902" s="12"/>
      <c r="R902" s="12"/>
      <c r="S902" s="12"/>
      <c r="T902" s="12"/>
      <c r="U902" s="5"/>
      <c r="V902" s="5"/>
      <c r="W902" s="5"/>
      <c r="X902" s="5"/>
      <c r="Y902" s="5"/>
      <c r="Z902" s="5"/>
      <c r="AA902" s="69"/>
      <c r="AB902" s="69"/>
      <c r="AC902" s="5"/>
      <c r="AD902" s="88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</row>
    <row r="903" spans="1:256" ht="23.1" customHeight="1" x14ac:dyDescent="0.25">
      <c r="A903" s="5"/>
      <c r="B903" s="288"/>
      <c r="C903" s="12"/>
      <c r="D903" s="12"/>
      <c r="E903" s="12"/>
      <c r="F903" s="12"/>
      <c r="G903" s="12"/>
      <c r="H903" s="12"/>
      <c r="I903" s="12"/>
      <c r="J903" s="73"/>
      <c r="K903" s="73"/>
      <c r="L903" s="73"/>
      <c r="M903" s="73"/>
      <c r="N903" s="12"/>
      <c r="O903" s="12"/>
      <c r="P903" s="12"/>
      <c r="Q903" s="12"/>
      <c r="R903" s="12"/>
      <c r="S903" s="12"/>
      <c r="T903" s="12"/>
      <c r="U903" s="5"/>
      <c r="V903" s="5"/>
      <c r="W903" s="5"/>
      <c r="X903" s="5"/>
      <c r="Y903" s="5"/>
      <c r="Z903" s="5"/>
      <c r="AA903" s="69"/>
      <c r="AB903" s="69"/>
      <c r="AC903" s="5"/>
      <c r="AD903" s="88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</row>
    <row r="904" spans="1:256" ht="23.1" customHeight="1" x14ac:dyDescent="0.25">
      <c r="A904" s="5"/>
      <c r="B904" s="288"/>
      <c r="C904" s="12"/>
      <c r="D904" s="12"/>
      <c r="E904" s="12"/>
      <c r="F904" s="12"/>
      <c r="G904" s="12"/>
      <c r="H904" s="12"/>
      <c r="I904" s="12"/>
      <c r="J904" s="73"/>
      <c r="K904" s="73"/>
      <c r="L904" s="73"/>
      <c r="M904" s="73"/>
      <c r="N904" s="12"/>
      <c r="O904" s="12"/>
      <c r="P904" s="12"/>
      <c r="Q904" s="12"/>
      <c r="R904" s="12"/>
      <c r="S904" s="12"/>
      <c r="T904" s="12"/>
      <c r="U904" s="5"/>
      <c r="V904" s="5"/>
      <c r="W904" s="5"/>
      <c r="X904" s="5"/>
      <c r="Y904" s="5"/>
      <c r="Z904" s="5"/>
      <c r="AA904" s="69"/>
      <c r="AB904" s="69"/>
      <c r="AC904" s="5"/>
      <c r="AD904" s="88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</row>
    <row r="905" spans="1:256" ht="23.1" customHeight="1" x14ac:dyDescent="0.25">
      <c r="A905" s="5"/>
      <c r="B905" s="288"/>
      <c r="C905" s="12"/>
      <c r="D905" s="12"/>
      <c r="E905" s="12"/>
      <c r="F905" s="12"/>
      <c r="G905" s="12"/>
      <c r="H905" s="12"/>
      <c r="I905" s="12"/>
      <c r="J905" s="73"/>
      <c r="K905" s="73"/>
      <c r="L905" s="73"/>
      <c r="M905" s="73"/>
      <c r="N905" s="12"/>
      <c r="O905" s="12"/>
      <c r="P905" s="12"/>
      <c r="Q905" s="12"/>
      <c r="R905" s="12"/>
      <c r="S905" s="12"/>
      <c r="T905" s="12"/>
      <c r="U905" s="5"/>
      <c r="V905" s="5"/>
      <c r="W905" s="5"/>
      <c r="X905" s="5"/>
      <c r="Y905" s="5"/>
      <c r="Z905" s="5"/>
      <c r="AA905" s="69"/>
      <c r="AB905" s="69"/>
      <c r="AC905" s="5"/>
      <c r="AD905" s="88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</row>
    <row r="906" spans="1:256" ht="23.1" customHeight="1" x14ac:dyDescent="0.25">
      <c r="A906" s="5"/>
      <c r="B906" s="288"/>
      <c r="C906" s="12"/>
      <c r="D906" s="12"/>
      <c r="E906" s="12"/>
      <c r="F906" s="12"/>
      <c r="G906" s="12"/>
      <c r="H906" s="12"/>
      <c r="I906" s="12"/>
      <c r="J906" s="73"/>
      <c r="K906" s="73"/>
      <c r="L906" s="73"/>
      <c r="M906" s="73"/>
      <c r="N906" s="12"/>
      <c r="O906" s="12"/>
      <c r="P906" s="12"/>
      <c r="Q906" s="12"/>
      <c r="R906" s="12"/>
      <c r="S906" s="12"/>
      <c r="T906" s="12"/>
      <c r="U906" s="5"/>
      <c r="V906" s="5"/>
      <c r="W906" s="5"/>
      <c r="X906" s="5"/>
      <c r="Y906" s="5"/>
      <c r="Z906" s="5"/>
      <c r="AA906" s="69"/>
      <c r="AB906" s="69"/>
      <c r="AC906" s="5"/>
      <c r="AD906" s="88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</row>
    <row r="907" spans="1:256" ht="23.1" customHeight="1" x14ac:dyDescent="0.25">
      <c r="A907" s="5"/>
      <c r="B907" s="288"/>
      <c r="C907" s="12"/>
      <c r="D907" s="12"/>
      <c r="E907" s="12"/>
      <c r="F907" s="12"/>
      <c r="G907" s="12"/>
      <c r="H907" s="12"/>
      <c r="I907" s="12"/>
      <c r="J907" s="73"/>
      <c r="K907" s="73"/>
      <c r="L907" s="73"/>
      <c r="M907" s="73"/>
      <c r="N907" s="12"/>
      <c r="O907" s="12"/>
      <c r="P907" s="12"/>
      <c r="Q907" s="12"/>
      <c r="R907" s="12"/>
      <c r="S907" s="12"/>
      <c r="T907" s="12"/>
      <c r="U907" s="5"/>
      <c r="V907" s="5"/>
      <c r="W907" s="5"/>
      <c r="X907" s="5"/>
      <c r="Y907" s="5"/>
      <c r="Z907" s="5"/>
      <c r="AA907" s="69"/>
      <c r="AB907" s="69"/>
      <c r="AC907" s="5"/>
      <c r="AD907" s="88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</row>
    <row r="908" spans="1:256" ht="23.1" customHeight="1" x14ac:dyDescent="0.25">
      <c r="A908" s="5"/>
      <c r="B908" s="288"/>
      <c r="C908" s="12"/>
      <c r="D908" s="12"/>
      <c r="E908" s="12"/>
      <c r="F908" s="12"/>
      <c r="G908" s="12"/>
      <c r="H908" s="12"/>
      <c r="I908" s="12"/>
      <c r="J908" s="73"/>
      <c r="K908" s="73"/>
      <c r="L908" s="73"/>
      <c r="M908" s="73"/>
      <c r="N908" s="12"/>
      <c r="O908" s="12"/>
      <c r="P908" s="12"/>
      <c r="Q908" s="12"/>
      <c r="R908" s="12"/>
      <c r="S908" s="12"/>
      <c r="T908" s="12"/>
      <c r="U908" s="5"/>
      <c r="V908" s="5"/>
      <c r="W908" s="5"/>
      <c r="X908" s="5"/>
      <c r="Y908" s="5"/>
      <c r="Z908" s="5"/>
      <c r="AA908" s="69"/>
      <c r="AB908" s="69"/>
      <c r="AC908" s="5"/>
      <c r="AD908" s="88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</row>
    <row r="909" spans="1:256" ht="23.1" customHeight="1" x14ac:dyDescent="0.25">
      <c r="A909" s="5"/>
      <c r="B909" s="288"/>
      <c r="C909" s="12"/>
      <c r="D909" s="12"/>
      <c r="E909" s="12"/>
      <c r="F909" s="12"/>
      <c r="G909" s="12"/>
      <c r="H909" s="12"/>
      <c r="I909" s="12"/>
      <c r="J909" s="73"/>
      <c r="K909" s="73"/>
      <c r="L909" s="73"/>
      <c r="M909" s="73"/>
      <c r="N909" s="12"/>
      <c r="O909" s="12"/>
      <c r="P909" s="12"/>
      <c r="Q909" s="12"/>
      <c r="R909" s="12"/>
      <c r="S909" s="12"/>
      <c r="T909" s="12"/>
      <c r="U909" s="5"/>
      <c r="V909" s="5"/>
      <c r="W909" s="5"/>
      <c r="X909" s="5"/>
      <c r="Y909" s="5"/>
      <c r="Z909" s="5"/>
      <c r="AA909" s="69"/>
      <c r="AB909" s="69"/>
      <c r="AC909" s="5"/>
      <c r="AD909" s="88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</row>
    <row r="910" spans="1:256" ht="23.1" customHeight="1" x14ac:dyDescent="0.25">
      <c r="A910" s="5"/>
      <c r="B910" s="288"/>
      <c r="C910" s="12"/>
      <c r="D910" s="12"/>
      <c r="E910" s="12"/>
      <c r="F910" s="12"/>
      <c r="G910" s="12"/>
      <c r="H910" s="12"/>
      <c r="I910" s="12"/>
      <c r="J910" s="73"/>
      <c r="K910" s="73"/>
      <c r="L910" s="73"/>
      <c r="M910" s="73"/>
      <c r="N910" s="12"/>
      <c r="O910" s="12"/>
      <c r="P910" s="12"/>
      <c r="Q910" s="12"/>
      <c r="R910" s="12"/>
      <c r="S910" s="12"/>
      <c r="T910" s="12"/>
      <c r="U910" s="5"/>
      <c r="V910" s="5"/>
      <c r="W910" s="5"/>
      <c r="X910" s="5"/>
      <c r="Y910" s="5"/>
      <c r="Z910" s="5"/>
      <c r="AA910" s="69"/>
      <c r="AB910" s="69"/>
      <c r="AC910" s="5"/>
      <c r="AD910" s="88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</row>
    <row r="911" spans="1:256" ht="23.1" customHeight="1" x14ac:dyDescent="0.25">
      <c r="A911" s="5"/>
      <c r="B911" s="288"/>
      <c r="C911" s="12"/>
      <c r="D911" s="12"/>
      <c r="E911" s="12"/>
      <c r="F911" s="12"/>
      <c r="G911" s="12"/>
      <c r="H911" s="12"/>
      <c r="I911" s="12"/>
      <c r="J911" s="73"/>
      <c r="K911" s="73"/>
      <c r="L911" s="73"/>
      <c r="M911" s="73"/>
      <c r="N911" s="12"/>
      <c r="O911" s="12"/>
      <c r="P911" s="12"/>
      <c r="Q911" s="12"/>
      <c r="R911" s="12"/>
      <c r="S911" s="12"/>
      <c r="T911" s="12"/>
      <c r="U911" s="5"/>
      <c r="V911" s="5"/>
      <c r="W911" s="5"/>
      <c r="X911" s="5"/>
      <c r="Y911" s="5"/>
      <c r="Z911" s="5"/>
      <c r="AA911" s="69"/>
      <c r="AB911" s="69"/>
      <c r="AC911" s="5"/>
      <c r="AD911" s="88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</row>
    <row r="912" spans="1:256" ht="23.1" customHeight="1" x14ac:dyDescent="0.25">
      <c r="A912" s="5"/>
      <c r="B912" s="288"/>
      <c r="C912" s="12"/>
      <c r="D912" s="12"/>
      <c r="E912" s="12"/>
      <c r="F912" s="12"/>
      <c r="G912" s="12"/>
      <c r="H912" s="12"/>
      <c r="I912" s="12"/>
      <c r="J912" s="73"/>
      <c r="K912" s="73"/>
      <c r="L912" s="73"/>
      <c r="M912" s="73"/>
      <c r="N912" s="12"/>
      <c r="O912" s="12"/>
      <c r="P912" s="12"/>
      <c r="Q912" s="12"/>
      <c r="R912" s="12"/>
      <c r="S912" s="12"/>
      <c r="T912" s="12"/>
      <c r="U912" s="5"/>
      <c r="V912" s="5"/>
      <c r="W912" s="5"/>
      <c r="X912" s="5"/>
      <c r="Y912" s="5"/>
      <c r="Z912" s="5"/>
      <c r="AA912" s="69"/>
      <c r="AB912" s="69"/>
      <c r="AC912" s="5"/>
      <c r="AD912" s="88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</row>
    <row r="913" spans="1:256" ht="23.1" customHeight="1" x14ac:dyDescent="0.25">
      <c r="A913" s="5"/>
      <c r="B913" s="288"/>
      <c r="C913" s="12"/>
      <c r="D913" s="12"/>
      <c r="E913" s="12"/>
      <c r="F913" s="12"/>
      <c r="G913" s="12"/>
      <c r="H913" s="12"/>
      <c r="I913" s="12"/>
      <c r="J913" s="73"/>
      <c r="K913" s="73"/>
      <c r="L913" s="73"/>
      <c r="M913" s="73"/>
      <c r="N913" s="12"/>
      <c r="O913" s="12"/>
      <c r="P913" s="12"/>
      <c r="Q913" s="12"/>
      <c r="R913" s="12"/>
      <c r="S913" s="12"/>
      <c r="T913" s="12"/>
      <c r="U913" s="5"/>
      <c r="V913" s="5"/>
      <c r="W913" s="5"/>
      <c r="X913" s="5"/>
      <c r="Y913" s="5"/>
      <c r="Z913" s="5"/>
      <c r="AA913" s="69"/>
      <c r="AB913" s="69"/>
      <c r="AC913" s="5"/>
      <c r="AD913" s="88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</row>
    <row r="914" spans="1:256" ht="23.1" customHeight="1" x14ac:dyDescent="0.25">
      <c r="A914" s="5"/>
      <c r="B914" s="288"/>
      <c r="C914" s="12"/>
      <c r="D914" s="12"/>
      <c r="E914" s="12"/>
      <c r="F914" s="12"/>
      <c r="G914" s="12"/>
      <c r="H914" s="12"/>
      <c r="I914" s="12"/>
      <c r="J914" s="73"/>
      <c r="K914" s="73"/>
      <c r="L914" s="73"/>
      <c r="M914" s="73"/>
      <c r="N914" s="12"/>
      <c r="O914" s="12"/>
      <c r="P914" s="12"/>
      <c r="Q914" s="12"/>
      <c r="R914" s="12"/>
      <c r="S914" s="12"/>
      <c r="T914" s="12"/>
      <c r="U914" s="5"/>
      <c r="V914" s="5"/>
      <c r="W914" s="5"/>
      <c r="X914" s="5"/>
      <c r="Y914" s="5"/>
      <c r="Z914" s="5"/>
      <c r="AA914" s="69"/>
      <c r="AB914" s="69"/>
      <c r="AC914" s="5"/>
      <c r="AD914" s="88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</row>
    <row r="915" spans="1:256" ht="23.1" customHeight="1" x14ac:dyDescent="0.25">
      <c r="A915" s="5"/>
      <c r="B915" s="288"/>
      <c r="C915" s="12"/>
      <c r="D915" s="12"/>
      <c r="E915" s="12"/>
      <c r="F915" s="12"/>
      <c r="G915" s="12"/>
      <c r="H915" s="12"/>
      <c r="I915" s="12"/>
      <c r="J915" s="73"/>
      <c r="K915" s="73"/>
      <c r="L915" s="73"/>
      <c r="M915" s="73"/>
      <c r="N915" s="12"/>
      <c r="O915" s="12"/>
      <c r="P915" s="12"/>
      <c r="Q915" s="12"/>
      <c r="R915" s="12"/>
      <c r="S915" s="12"/>
      <c r="T915" s="12"/>
      <c r="U915" s="5"/>
      <c r="V915" s="5"/>
      <c r="W915" s="5"/>
      <c r="X915" s="5"/>
      <c r="Y915" s="5"/>
      <c r="Z915" s="5"/>
      <c r="AA915" s="69"/>
      <c r="AB915" s="69"/>
      <c r="AC915" s="5"/>
      <c r="AD915" s="88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</row>
    <row r="916" spans="1:256" ht="23.1" customHeight="1" x14ac:dyDescent="0.25">
      <c r="A916" s="5"/>
      <c r="B916" s="288"/>
      <c r="C916" s="12"/>
      <c r="D916" s="12"/>
      <c r="E916" s="12"/>
      <c r="F916" s="12"/>
      <c r="G916" s="12"/>
      <c r="H916" s="12"/>
      <c r="I916" s="12"/>
      <c r="J916" s="73"/>
      <c r="K916" s="73"/>
      <c r="L916" s="73"/>
      <c r="M916" s="73"/>
      <c r="N916" s="12"/>
      <c r="O916" s="12"/>
      <c r="P916" s="12"/>
      <c r="Q916" s="12"/>
      <c r="R916" s="12"/>
      <c r="S916" s="12"/>
      <c r="T916" s="12"/>
      <c r="U916" s="5"/>
      <c r="V916" s="5"/>
      <c r="W916" s="5"/>
      <c r="X916" s="5"/>
      <c r="Y916" s="5"/>
      <c r="Z916" s="5"/>
      <c r="AA916" s="69"/>
      <c r="AB916" s="69"/>
      <c r="AC916" s="5"/>
      <c r="AD916" s="88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</row>
    <row r="917" spans="1:256" ht="23.1" customHeight="1" x14ac:dyDescent="0.25">
      <c r="A917" s="5"/>
      <c r="B917" s="288"/>
      <c r="C917" s="12"/>
      <c r="D917" s="12"/>
      <c r="E917" s="12"/>
      <c r="F917" s="12"/>
      <c r="G917" s="12"/>
      <c r="H917" s="12"/>
      <c r="I917" s="12"/>
      <c r="J917" s="73"/>
      <c r="K917" s="73"/>
      <c r="L917" s="73"/>
      <c r="M917" s="73"/>
      <c r="N917" s="12"/>
      <c r="O917" s="12"/>
      <c r="P917" s="12"/>
      <c r="Q917" s="12"/>
      <c r="R917" s="12"/>
      <c r="S917" s="12"/>
      <c r="T917" s="12"/>
      <c r="U917" s="5"/>
      <c r="V917" s="5"/>
      <c r="W917" s="5"/>
      <c r="X917" s="5"/>
      <c r="Y917" s="5"/>
      <c r="Z917" s="5"/>
      <c r="AA917" s="69"/>
      <c r="AB917" s="69"/>
      <c r="AC917" s="5"/>
      <c r="AD917" s="88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</row>
    <row r="918" spans="1:256" ht="23.1" customHeight="1" x14ac:dyDescent="0.25">
      <c r="A918" s="5"/>
      <c r="B918" s="288"/>
      <c r="C918" s="12"/>
      <c r="D918" s="12"/>
      <c r="E918" s="12"/>
      <c r="F918" s="12"/>
      <c r="G918" s="12"/>
      <c r="H918" s="12"/>
      <c r="I918" s="12"/>
      <c r="J918" s="73"/>
      <c r="K918" s="73"/>
      <c r="L918" s="73"/>
      <c r="M918" s="73"/>
      <c r="N918" s="12"/>
      <c r="O918" s="12"/>
      <c r="P918" s="12"/>
      <c r="Q918" s="12"/>
      <c r="R918" s="12"/>
      <c r="S918" s="12"/>
      <c r="T918" s="12"/>
      <c r="U918" s="5"/>
      <c r="V918" s="5"/>
      <c r="W918" s="5"/>
      <c r="X918" s="5"/>
      <c r="Y918" s="5"/>
      <c r="Z918" s="5"/>
      <c r="AA918" s="69"/>
      <c r="AB918" s="69"/>
      <c r="AC918" s="5"/>
      <c r="AD918" s="88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</row>
    <row r="919" spans="1:256" ht="23.1" customHeight="1" x14ac:dyDescent="0.25">
      <c r="A919" s="5"/>
      <c r="B919" s="288"/>
      <c r="C919" s="12"/>
      <c r="D919" s="12"/>
      <c r="E919" s="12"/>
      <c r="F919" s="12"/>
      <c r="G919" s="12"/>
      <c r="H919" s="12"/>
      <c r="I919" s="12"/>
      <c r="J919" s="73"/>
      <c r="K919" s="73"/>
      <c r="L919" s="73"/>
      <c r="M919" s="73"/>
      <c r="N919" s="12"/>
      <c r="O919" s="12"/>
      <c r="P919" s="12"/>
      <c r="Q919" s="12"/>
      <c r="R919" s="12"/>
      <c r="S919" s="12"/>
      <c r="T919" s="12"/>
      <c r="U919" s="5"/>
      <c r="V919" s="5"/>
      <c r="W919" s="5"/>
      <c r="X919" s="5"/>
      <c r="Y919" s="5"/>
      <c r="Z919" s="5"/>
      <c r="AA919" s="69"/>
      <c r="AB919" s="69"/>
      <c r="AC919" s="5"/>
      <c r="AD919" s="88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</row>
    <row r="920" spans="1:256" ht="23.1" customHeight="1" x14ac:dyDescent="0.25">
      <c r="A920" s="5"/>
      <c r="B920" s="288"/>
      <c r="C920" s="12"/>
      <c r="D920" s="12"/>
      <c r="E920" s="12"/>
      <c r="F920" s="12"/>
      <c r="G920" s="12"/>
      <c r="H920" s="12"/>
      <c r="I920" s="12"/>
      <c r="J920" s="73"/>
      <c r="K920" s="73"/>
      <c r="L920" s="73"/>
      <c r="M920" s="73"/>
      <c r="N920" s="12"/>
      <c r="O920" s="12"/>
      <c r="P920" s="12"/>
      <c r="Q920" s="12"/>
      <c r="R920" s="12"/>
      <c r="S920" s="12"/>
      <c r="T920" s="12"/>
      <c r="U920" s="5"/>
      <c r="V920" s="5"/>
      <c r="W920" s="5"/>
      <c r="X920" s="5"/>
      <c r="Y920" s="5"/>
      <c r="Z920" s="5"/>
      <c r="AA920" s="69"/>
      <c r="AB920" s="69"/>
      <c r="AC920" s="5"/>
      <c r="AD920" s="88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</row>
    <row r="921" spans="1:256" ht="23.1" customHeight="1" x14ac:dyDescent="0.25">
      <c r="A921" s="5"/>
      <c r="B921" s="288"/>
      <c r="C921" s="12"/>
      <c r="D921" s="12"/>
      <c r="E921" s="12"/>
      <c r="F921" s="12"/>
      <c r="G921" s="12"/>
      <c r="H921" s="12"/>
      <c r="I921" s="12"/>
      <c r="J921" s="73"/>
      <c r="K921" s="73"/>
      <c r="L921" s="73"/>
      <c r="M921" s="73"/>
      <c r="N921" s="12"/>
      <c r="O921" s="12"/>
      <c r="P921" s="12"/>
      <c r="Q921" s="12"/>
      <c r="R921" s="12"/>
      <c r="S921" s="12"/>
      <c r="T921" s="12"/>
      <c r="U921" s="5"/>
      <c r="V921" s="5"/>
      <c r="W921" s="5"/>
      <c r="X921" s="5"/>
      <c r="Y921" s="5"/>
      <c r="Z921" s="5"/>
      <c r="AA921" s="69"/>
      <c r="AB921" s="69"/>
      <c r="AC921" s="5"/>
      <c r="AD921" s="88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</row>
    <row r="922" spans="1:256" ht="23.1" customHeight="1" x14ac:dyDescent="0.25">
      <c r="A922" s="5"/>
      <c r="B922" s="288"/>
      <c r="C922" s="12"/>
      <c r="D922" s="12"/>
      <c r="E922" s="12"/>
      <c r="F922" s="12"/>
      <c r="G922" s="12"/>
      <c r="H922" s="12"/>
      <c r="I922" s="12"/>
      <c r="J922" s="73"/>
      <c r="K922" s="73"/>
      <c r="L922" s="73"/>
      <c r="M922" s="73"/>
      <c r="N922" s="12"/>
      <c r="O922" s="12"/>
      <c r="P922" s="12"/>
      <c r="Q922" s="12"/>
      <c r="R922" s="12"/>
      <c r="S922" s="12"/>
      <c r="T922" s="12"/>
      <c r="U922" s="5"/>
      <c r="V922" s="5"/>
      <c r="W922" s="5"/>
      <c r="X922" s="5"/>
      <c r="Y922" s="5"/>
      <c r="Z922" s="5"/>
      <c r="AA922" s="69"/>
      <c r="AB922" s="69"/>
      <c r="AC922" s="5"/>
      <c r="AD922" s="88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</row>
    <row r="923" spans="1:256" ht="23.1" customHeight="1" x14ac:dyDescent="0.25">
      <c r="A923" s="5"/>
      <c r="B923" s="288"/>
      <c r="C923" s="12"/>
      <c r="D923" s="12"/>
      <c r="E923" s="12"/>
      <c r="F923" s="12"/>
      <c r="G923" s="12"/>
      <c r="H923" s="12"/>
      <c r="I923" s="12"/>
      <c r="J923" s="73"/>
      <c r="K923" s="73"/>
      <c r="L923" s="73"/>
      <c r="M923" s="73"/>
      <c r="N923" s="12"/>
      <c r="O923" s="12"/>
      <c r="P923" s="12"/>
      <c r="Q923" s="12"/>
      <c r="R923" s="12"/>
      <c r="S923" s="12"/>
      <c r="T923" s="12"/>
      <c r="U923" s="5"/>
      <c r="V923" s="5"/>
      <c r="W923" s="5"/>
      <c r="X923" s="5"/>
      <c r="Y923" s="5"/>
      <c r="Z923" s="5"/>
      <c r="AA923" s="69"/>
      <c r="AB923" s="69"/>
      <c r="AC923" s="5"/>
      <c r="AD923" s="88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</row>
    <row r="924" spans="1:256" ht="23.1" customHeight="1" x14ac:dyDescent="0.25">
      <c r="A924" s="5"/>
      <c r="B924" s="288"/>
      <c r="C924" s="12"/>
      <c r="D924" s="12"/>
      <c r="E924" s="12"/>
      <c r="F924" s="12"/>
      <c r="G924" s="12"/>
      <c r="H924" s="12"/>
      <c r="I924" s="12"/>
      <c r="J924" s="73"/>
      <c r="K924" s="73"/>
      <c r="L924" s="73"/>
      <c r="M924" s="73"/>
      <c r="N924" s="12"/>
      <c r="O924" s="12"/>
      <c r="P924" s="12"/>
      <c r="Q924" s="12"/>
      <c r="R924" s="12"/>
      <c r="S924" s="12"/>
      <c r="T924" s="12"/>
      <c r="U924" s="5"/>
      <c r="V924" s="5"/>
      <c r="W924" s="5"/>
      <c r="X924" s="5"/>
      <c r="Y924" s="5"/>
      <c r="Z924" s="5"/>
      <c r="AA924" s="69"/>
      <c r="AB924" s="69"/>
      <c r="AC924" s="5"/>
      <c r="AD924" s="88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</row>
    <row r="925" spans="1:256" ht="23.1" customHeight="1" x14ac:dyDescent="0.25">
      <c r="A925" s="5"/>
      <c r="B925" s="288"/>
      <c r="C925" s="12"/>
      <c r="D925" s="12"/>
      <c r="E925" s="12"/>
      <c r="F925" s="12"/>
      <c r="G925" s="12"/>
      <c r="H925" s="12"/>
      <c r="I925" s="12"/>
      <c r="J925" s="73"/>
      <c r="K925" s="73"/>
      <c r="L925" s="73"/>
      <c r="M925" s="73"/>
      <c r="N925" s="12"/>
      <c r="O925" s="12"/>
      <c r="P925" s="12"/>
      <c r="Q925" s="12"/>
      <c r="R925" s="12"/>
      <c r="S925" s="12"/>
      <c r="T925" s="12"/>
      <c r="U925" s="5"/>
      <c r="V925" s="5"/>
      <c r="W925" s="5"/>
      <c r="X925" s="5"/>
      <c r="Y925" s="5"/>
      <c r="Z925" s="5"/>
      <c r="AA925" s="69"/>
      <c r="AB925" s="69"/>
      <c r="AC925" s="5"/>
      <c r="AD925" s="88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</row>
    <row r="926" spans="1:256" ht="23.1" customHeight="1" x14ac:dyDescent="0.25">
      <c r="A926" s="5"/>
      <c r="B926" s="288"/>
      <c r="C926" s="12"/>
      <c r="D926" s="12"/>
      <c r="E926" s="12"/>
      <c r="F926" s="12"/>
      <c r="G926" s="12"/>
      <c r="H926" s="12"/>
      <c r="I926" s="12"/>
      <c r="J926" s="73"/>
      <c r="K926" s="73"/>
      <c r="L926" s="73"/>
      <c r="M926" s="73"/>
      <c r="N926" s="12"/>
      <c r="O926" s="12"/>
      <c r="P926" s="12"/>
      <c r="Q926" s="12"/>
      <c r="R926" s="12"/>
      <c r="S926" s="12"/>
      <c r="T926" s="12"/>
      <c r="U926" s="5"/>
      <c r="V926" s="5"/>
      <c r="W926" s="5"/>
      <c r="X926" s="5"/>
      <c r="Y926" s="5"/>
      <c r="Z926" s="5"/>
      <c r="AA926" s="69"/>
      <c r="AB926" s="69"/>
      <c r="AC926" s="5"/>
      <c r="AD926" s="88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</row>
    <row r="927" spans="1:256" ht="23.1" customHeight="1" x14ac:dyDescent="0.25">
      <c r="A927" s="5"/>
      <c r="B927" s="288"/>
      <c r="C927" s="12"/>
      <c r="D927" s="12"/>
      <c r="E927" s="12"/>
      <c r="F927" s="12"/>
      <c r="G927" s="12"/>
      <c r="H927" s="12"/>
      <c r="I927" s="12"/>
      <c r="J927" s="73"/>
      <c r="K927" s="73"/>
      <c r="L927" s="73"/>
      <c r="M927" s="73"/>
      <c r="N927" s="12"/>
      <c r="O927" s="12"/>
      <c r="P927" s="12"/>
      <c r="Q927" s="12"/>
      <c r="R927" s="12"/>
      <c r="S927" s="12"/>
      <c r="T927" s="12"/>
      <c r="U927" s="5"/>
      <c r="V927" s="5"/>
      <c r="W927" s="5"/>
      <c r="X927" s="5"/>
      <c r="Y927" s="5"/>
      <c r="Z927" s="5"/>
      <c r="AA927" s="69"/>
      <c r="AB927" s="69"/>
      <c r="AC927" s="5"/>
      <c r="AD927" s="88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</row>
    <row r="928" spans="1:256" ht="23.1" customHeight="1" x14ac:dyDescent="0.25">
      <c r="A928" s="5"/>
      <c r="B928" s="288"/>
      <c r="C928" s="12"/>
      <c r="D928" s="12"/>
      <c r="E928" s="12"/>
      <c r="F928" s="12"/>
      <c r="G928" s="12"/>
      <c r="H928" s="12"/>
      <c r="I928" s="12"/>
      <c r="J928" s="73"/>
      <c r="K928" s="73"/>
      <c r="L928" s="73"/>
      <c r="M928" s="73"/>
      <c r="N928" s="12"/>
      <c r="O928" s="12"/>
      <c r="P928" s="12"/>
      <c r="Q928" s="12"/>
      <c r="R928" s="12"/>
      <c r="S928" s="12"/>
      <c r="T928" s="12"/>
      <c r="U928" s="5"/>
      <c r="V928" s="5"/>
      <c r="W928" s="5"/>
      <c r="X928" s="5"/>
      <c r="Y928" s="5"/>
      <c r="Z928" s="5"/>
      <c r="AA928" s="69"/>
      <c r="AB928" s="69"/>
      <c r="AC928" s="5"/>
      <c r="AD928" s="88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</row>
    <row r="929" spans="1:256" ht="23.1" customHeight="1" x14ac:dyDescent="0.25">
      <c r="A929" s="5"/>
      <c r="B929" s="288"/>
      <c r="C929" s="12"/>
      <c r="D929" s="12"/>
      <c r="E929" s="12"/>
      <c r="F929" s="12"/>
      <c r="G929" s="12"/>
      <c r="H929" s="12"/>
      <c r="I929" s="12"/>
      <c r="J929" s="73"/>
      <c r="K929" s="73"/>
      <c r="L929" s="73"/>
      <c r="M929" s="73"/>
      <c r="N929" s="12"/>
      <c r="O929" s="12"/>
      <c r="P929" s="12"/>
      <c r="Q929" s="12"/>
      <c r="R929" s="12"/>
      <c r="S929" s="12"/>
      <c r="T929" s="12"/>
      <c r="U929" s="5"/>
      <c r="V929" s="5"/>
      <c r="W929" s="5"/>
      <c r="X929" s="5"/>
      <c r="Y929" s="5"/>
      <c r="Z929" s="5"/>
      <c r="AA929" s="69"/>
      <c r="AB929" s="69"/>
      <c r="AC929" s="5"/>
      <c r="AD929" s="88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</row>
    <row r="930" spans="1:256" ht="23.1" customHeight="1" x14ac:dyDescent="0.25">
      <c r="A930" s="5"/>
      <c r="B930" s="288"/>
      <c r="C930" s="12"/>
      <c r="D930" s="12"/>
      <c r="E930" s="12"/>
      <c r="F930" s="12"/>
      <c r="G930" s="12"/>
      <c r="H930" s="12"/>
      <c r="I930" s="12"/>
      <c r="J930" s="73"/>
      <c r="K930" s="73"/>
      <c r="L930" s="73"/>
      <c r="M930" s="73"/>
      <c r="N930" s="12"/>
      <c r="O930" s="12"/>
      <c r="P930" s="12"/>
      <c r="Q930" s="12"/>
      <c r="R930" s="12"/>
      <c r="S930" s="12"/>
      <c r="T930" s="12"/>
      <c r="U930" s="5"/>
      <c r="V930" s="5"/>
      <c r="W930" s="5"/>
      <c r="X930" s="5"/>
      <c r="Y930" s="5"/>
      <c r="Z930" s="5"/>
      <c r="AA930" s="69"/>
      <c r="AB930" s="69"/>
      <c r="AC930" s="5"/>
      <c r="AD930" s="88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</row>
    <row r="931" spans="1:256" ht="23.1" customHeight="1" x14ac:dyDescent="0.25">
      <c r="A931" s="5"/>
      <c r="B931" s="288"/>
      <c r="C931" s="12"/>
      <c r="D931" s="12"/>
      <c r="E931" s="12"/>
      <c r="F931" s="12"/>
      <c r="G931" s="12"/>
      <c r="H931" s="12"/>
      <c r="I931" s="12"/>
      <c r="J931" s="73"/>
      <c r="K931" s="73"/>
      <c r="L931" s="73"/>
      <c r="M931" s="73"/>
      <c r="N931" s="12"/>
      <c r="O931" s="12"/>
      <c r="P931" s="12"/>
      <c r="Q931" s="12"/>
      <c r="R931" s="12"/>
      <c r="S931" s="12"/>
      <c r="T931" s="12"/>
      <c r="U931" s="5"/>
      <c r="V931" s="5"/>
      <c r="W931" s="5"/>
      <c r="X931" s="5"/>
      <c r="Y931" s="5"/>
      <c r="Z931" s="5"/>
      <c r="AA931" s="69"/>
      <c r="AB931" s="69"/>
      <c r="AC931" s="5"/>
      <c r="AD931" s="88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</row>
    <row r="932" spans="1:256" ht="23.1" customHeight="1" x14ac:dyDescent="0.25">
      <c r="A932" s="5"/>
      <c r="B932" s="288"/>
      <c r="C932" s="12"/>
      <c r="D932" s="12"/>
      <c r="E932" s="12"/>
      <c r="F932" s="12"/>
      <c r="G932" s="12"/>
      <c r="H932" s="12"/>
      <c r="I932" s="12"/>
      <c r="J932" s="73"/>
      <c r="K932" s="73"/>
      <c r="L932" s="73"/>
      <c r="M932" s="73"/>
      <c r="N932" s="12"/>
      <c r="O932" s="12"/>
      <c r="P932" s="12"/>
      <c r="Q932" s="12"/>
      <c r="R932" s="12"/>
      <c r="S932" s="12"/>
      <c r="T932" s="12"/>
      <c r="U932" s="5"/>
      <c r="V932" s="5"/>
      <c r="W932" s="5"/>
      <c r="X932" s="5"/>
      <c r="Y932" s="5"/>
      <c r="Z932" s="5"/>
      <c r="AA932" s="69"/>
      <c r="AB932" s="69"/>
      <c r="AC932" s="5"/>
      <c r="AD932" s="88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</row>
    <row r="933" spans="1:256" ht="23.1" customHeight="1" x14ac:dyDescent="0.25">
      <c r="A933" s="5"/>
      <c r="B933" s="288"/>
      <c r="C933" s="12"/>
      <c r="D933" s="12"/>
      <c r="E933" s="12"/>
      <c r="F933" s="12"/>
      <c r="G933" s="12"/>
      <c r="H933" s="12"/>
      <c r="I933" s="12"/>
      <c r="J933" s="73"/>
      <c r="K933" s="73"/>
      <c r="L933" s="73"/>
      <c r="M933" s="73"/>
      <c r="N933" s="12"/>
      <c r="O933" s="12"/>
      <c r="P933" s="12"/>
      <c r="Q933" s="12"/>
      <c r="R933" s="12"/>
      <c r="S933" s="12"/>
      <c r="T933" s="12"/>
      <c r="U933" s="5"/>
      <c r="V933" s="5"/>
      <c r="W933" s="5"/>
      <c r="X933" s="5"/>
      <c r="Y933" s="5"/>
      <c r="Z933" s="5"/>
      <c r="AA933" s="69"/>
      <c r="AB933" s="69"/>
      <c r="AC933" s="5"/>
      <c r="AD933" s="88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</row>
    <row r="934" spans="1:256" ht="23.1" customHeight="1" x14ac:dyDescent="0.25">
      <c r="A934" s="5"/>
      <c r="B934" s="288"/>
      <c r="C934" s="12"/>
      <c r="D934" s="12"/>
      <c r="E934" s="12"/>
      <c r="F934" s="12"/>
      <c r="G934" s="12"/>
      <c r="H934" s="12"/>
      <c r="I934" s="12"/>
      <c r="J934" s="73"/>
      <c r="K934" s="73"/>
      <c r="L934" s="73"/>
      <c r="M934" s="73"/>
      <c r="N934" s="12"/>
      <c r="O934" s="12"/>
      <c r="P934" s="12"/>
      <c r="Q934" s="12"/>
      <c r="R934" s="12"/>
      <c r="S934" s="12"/>
      <c r="T934" s="12"/>
      <c r="U934" s="5"/>
      <c r="V934" s="5"/>
      <c r="W934" s="5"/>
      <c r="X934" s="5"/>
      <c r="Y934" s="5"/>
      <c r="Z934" s="5"/>
      <c r="AA934" s="69"/>
      <c r="AB934" s="69"/>
      <c r="AC934" s="5"/>
      <c r="AD934" s="88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</row>
    <row r="935" spans="1:256" ht="23.1" customHeight="1" x14ac:dyDescent="0.25">
      <c r="A935" s="5"/>
      <c r="B935" s="288"/>
      <c r="C935" s="12"/>
      <c r="D935" s="12"/>
      <c r="E935" s="12"/>
      <c r="F935" s="12"/>
      <c r="G935" s="12"/>
      <c r="H935" s="12"/>
      <c r="I935" s="12"/>
      <c r="J935" s="73"/>
      <c r="K935" s="73"/>
      <c r="L935" s="73"/>
      <c r="M935" s="73"/>
      <c r="N935" s="12"/>
      <c r="O935" s="12"/>
      <c r="P935" s="12"/>
      <c r="Q935" s="12"/>
      <c r="R935" s="12"/>
      <c r="S935" s="12"/>
      <c r="T935" s="12"/>
      <c r="U935" s="5"/>
      <c r="V935" s="5"/>
      <c r="W935" s="5"/>
      <c r="X935" s="5"/>
      <c r="Y935" s="5"/>
      <c r="Z935" s="5"/>
      <c r="AA935" s="69"/>
      <c r="AB935" s="69"/>
      <c r="AC935" s="5"/>
      <c r="AD935" s="88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</row>
    <row r="936" spans="1:256" ht="23.1" customHeight="1" x14ac:dyDescent="0.25">
      <c r="A936" s="5"/>
      <c r="B936" s="288"/>
      <c r="C936" s="12"/>
      <c r="D936" s="12"/>
      <c r="E936" s="12"/>
      <c r="F936" s="12"/>
      <c r="G936" s="12"/>
      <c r="H936" s="12"/>
      <c r="I936" s="12"/>
      <c r="J936" s="73"/>
      <c r="K936" s="73"/>
      <c r="L936" s="73"/>
      <c r="M936" s="73"/>
      <c r="N936" s="12"/>
      <c r="O936" s="12"/>
      <c r="P936" s="12"/>
      <c r="Q936" s="12"/>
      <c r="R936" s="12"/>
      <c r="S936" s="12"/>
      <c r="T936" s="12"/>
      <c r="U936" s="5"/>
      <c r="V936" s="5"/>
      <c r="W936" s="5"/>
      <c r="X936" s="5"/>
      <c r="Y936" s="5"/>
      <c r="Z936" s="5"/>
      <c r="AA936" s="69"/>
      <c r="AB936" s="69"/>
      <c r="AC936" s="5"/>
      <c r="AD936" s="88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</row>
    <row r="937" spans="1:256" ht="23.1" customHeight="1" x14ac:dyDescent="0.25">
      <c r="A937" s="5"/>
      <c r="B937" s="288"/>
      <c r="C937" s="12"/>
      <c r="D937" s="12"/>
      <c r="E937" s="12"/>
      <c r="F937" s="12"/>
      <c r="G937" s="12"/>
      <c r="H937" s="12"/>
      <c r="I937" s="12"/>
      <c r="J937" s="73"/>
      <c r="K937" s="73"/>
      <c r="L937" s="73"/>
      <c r="M937" s="73"/>
      <c r="N937" s="12"/>
      <c r="O937" s="12"/>
      <c r="P937" s="12"/>
      <c r="Q937" s="12"/>
      <c r="R937" s="12"/>
      <c r="S937" s="12"/>
      <c r="T937" s="12"/>
      <c r="U937" s="5"/>
      <c r="V937" s="5"/>
      <c r="W937" s="5"/>
      <c r="X937" s="5"/>
      <c r="Y937" s="5"/>
      <c r="Z937" s="5"/>
      <c r="AA937" s="69"/>
      <c r="AB937" s="69"/>
      <c r="AC937" s="5"/>
      <c r="AD937" s="88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</row>
    <row r="938" spans="1:256" ht="23.1" customHeight="1" x14ac:dyDescent="0.25">
      <c r="A938" s="5"/>
      <c r="B938" s="288"/>
      <c r="C938" s="12"/>
      <c r="D938" s="12"/>
      <c r="E938" s="12"/>
      <c r="F938" s="12"/>
      <c r="G938" s="12"/>
      <c r="H938" s="12"/>
      <c r="I938" s="12"/>
      <c r="J938" s="73"/>
      <c r="K938" s="73"/>
      <c r="L938" s="73"/>
      <c r="M938" s="73"/>
      <c r="N938" s="12"/>
      <c r="O938" s="12"/>
      <c r="P938" s="12"/>
      <c r="Q938" s="12"/>
      <c r="R938" s="12"/>
      <c r="S938" s="12"/>
      <c r="T938" s="12"/>
      <c r="U938" s="5"/>
      <c r="V938" s="5"/>
      <c r="W938" s="5"/>
      <c r="X938" s="5"/>
      <c r="Y938" s="5"/>
      <c r="Z938" s="5"/>
      <c r="AA938" s="69"/>
      <c r="AB938" s="69"/>
      <c r="AC938" s="5"/>
      <c r="AD938" s="88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</row>
    <row r="939" spans="1:256" ht="23.1" customHeight="1" x14ac:dyDescent="0.25">
      <c r="A939" s="5"/>
      <c r="B939" s="288"/>
      <c r="C939" s="12"/>
      <c r="D939" s="12"/>
      <c r="E939" s="12"/>
      <c r="F939" s="12"/>
      <c r="G939" s="12"/>
      <c r="H939" s="12"/>
      <c r="I939" s="12"/>
      <c r="J939" s="73"/>
      <c r="K939" s="73"/>
      <c r="L939" s="73"/>
      <c r="M939" s="73"/>
      <c r="N939" s="12"/>
      <c r="O939" s="12"/>
      <c r="P939" s="12"/>
      <c r="Q939" s="12"/>
      <c r="R939" s="12"/>
      <c r="S939" s="12"/>
      <c r="T939" s="12"/>
      <c r="U939" s="5"/>
      <c r="V939" s="5"/>
      <c r="W939" s="5"/>
      <c r="X939" s="5"/>
      <c r="Y939" s="5"/>
      <c r="Z939" s="5"/>
      <c r="AA939" s="69"/>
      <c r="AB939" s="69"/>
      <c r="AC939" s="5"/>
      <c r="AD939" s="88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</row>
    <row r="940" spans="1:256" ht="23.1" customHeight="1" x14ac:dyDescent="0.25">
      <c r="A940" s="5"/>
      <c r="B940" s="288"/>
      <c r="C940" s="12"/>
      <c r="D940" s="12"/>
      <c r="E940" s="12"/>
      <c r="F940" s="12"/>
      <c r="G940" s="12"/>
      <c r="H940" s="12"/>
      <c r="I940" s="12"/>
      <c r="J940" s="73"/>
      <c r="K940" s="73"/>
      <c r="L940" s="73"/>
      <c r="M940" s="73"/>
      <c r="N940" s="12"/>
      <c r="O940" s="12"/>
      <c r="P940" s="12"/>
      <c r="Q940" s="12"/>
      <c r="R940" s="12"/>
      <c r="S940" s="12"/>
      <c r="T940" s="12"/>
      <c r="U940" s="5"/>
      <c r="V940" s="5"/>
      <c r="W940" s="5"/>
      <c r="X940" s="5"/>
      <c r="Y940" s="5"/>
      <c r="Z940" s="5"/>
      <c r="AA940" s="69"/>
      <c r="AB940" s="69"/>
      <c r="AC940" s="5"/>
      <c r="AD940" s="88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</row>
    <row r="941" spans="1:256" ht="23.1" customHeight="1" x14ac:dyDescent="0.25">
      <c r="A941" s="5"/>
      <c r="B941" s="288"/>
      <c r="C941" s="12"/>
      <c r="D941" s="12"/>
      <c r="E941" s="12"/>
      <c r="F941" s="12"/>
      <c r="G941" s="12"/>
      <c r="H941" s="12"/>
      <c r="I941" s="12"/>
      <c r="J941" s="73"/>
      <c r="K941" s="73"/>
      <c r="L941" s="73"/>
      <c r="M941" s="73"/>
      <c r="N941" s="12"/>
      <c r="O941" s="12"/>
      <c r="P941" s="12"/>
      <c r="Q941" s="12"/>
      <c r="R941" s="12"/>
      <c r="S941" s="12"/>
      <c r="T941" s="12"/>
      <c r="U941" s="5"/>
      <c r="V941" s="5"/>
      <c r="W941" s="5"/>
      <c r="X941" s="5"/>
      <c r="Y941" s="5"/>
      <c r="Z941" s="5"/>
      <c r="AA941" s="69"/>
      <c r="AB941" s="69"/>
      <c r="AC941" s="5"/>
      <c r="AD941" s="88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</row>
    <row r="942" spans="1:256" ht="23.1" customHeight="1" x14ac:dyDescent="0.25">
      <c r="A942" s="5"/>
      <c r="B942" s="288"/>
      <c r="C942" s="12"/>
      <c r="D942" s="12"/>
      <c r="E942" s="12"/>
      <c r="F942" s="12"/>
      <c r="G942" s="12"/>
      <c r="H942" s="12"/>
      <c r="I942" s="12"/>
      <c r="J942" s="73"/>
      <c r="K942" s="73"/>
      <c r="L942" s="73"/>
      <c r="M942" s="73"/>
      <c r="N942" s="12"/>
      <c r="O942" s="12"/>
      <c r="P942" s="12"/>
      <c r="Q942" s="12"/>
      <c r="R942" s="12"/>
      <c r="S942" s="12"/>
      <c r="T942" s="12"/>
      <c r="U942" s="5"/>
      <c r="V942" s="5"/>
      <c r="W942" s="5"/>
      <c r="X942" s="5"/>
      <c r="Y942" s="5"/>
      <c r="Z942" s="5"/>
      <c r="AA942" s="69"/>
      <c r="AB942" s="69"/>
      <c r="AC942" s="5"/>
      <c r="AD942" s="88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</row>
    <row r="943" spans="1:256" ht="23.1" customHeight="1" x14ac:dyDescent="0.25">
      <c r="A943" s="5"/>
      <c r="B943" s="288"/>
      <c r="C943" s="12"/>
      <c r="D943" s="12"/>
      <c r="E943" s="12"/>
      <c r="F943" s="12"/>
      <c r="G943" s="12"/>
      <c r="H943" s="12"/>
      <c r="I943" s="12"/>
      <c r="J943" s="73"/>
      <c r="K943" s="73"/>
      <c r="L943" s="73"/>
      <c r="M943" s="73"/>
      <c r="N943" s="12"/>
      <c r="O943" s="12"/>
      <c r="P943" s="12"/>
      <c r="Q943" s="12"/>
      <c r="R943" s="12"/>
      <c r="S943" s="12"/>
      <c r="T943" s="12"/>
      <c r="U943" s="5"/>
      <c r="V943" s="5"/>
      <c r="W943" s="5"/>
      <c r="X943" s="5"/>
      <c r="Y943" s="5"/>
      <c r="Z943" s="5"/>
      <c r="AA943" s="69"/>
      <c r="AB943" s="69"/>
      <c r="AC943" s="5"/>
      <c r="AD943" s="88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</row>
    <row r="944" spans="1:256" ht="23.1" customHeight="1" x14ac:dyDescent="0.25">
      <c r="A944" s="5"/>
      <c r="B944" s="288"/>
      <c r="C944" s="12"/>
      <c r="D944" s="12"/>
      <c r="E944" s="12"/>
      <c r="F944" s="12"/>
      <c r="G944" s="12"/>
      <c r="H944" s="12"/>
      <c r="I944" s="12"/>
      <c r="J944" s="73"/>
      <c r="K944" s="73"/>
      <c r="L944" s="73"/>
      <c r="M944" s="73"/>
      <c r="N944" s="12"/>
      <c r="O944" s="12"/>
      <c r="P944" s="12"/>
      <c r="Q944" s="12"/>
      <c r="R944" s="12"/>
      <c r="S944" s="12"/>
      <c r="T944" s="12"/>
      <c r="U944" s="5"/>
      <c r="V944" s="5"/>
      <c r="W944" s="5"/>
      <c r="X944" s="5"/>
      <c r="Y944" s="5"/>
      <c r="Z944" s="5"/>
      <c r="AA944" s="69"/>
      <c r="AB944" s="69"/>
      <c r="AC944" s="5"/>
      <c r="AD944" s="88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</row>
    <row r="945" spans="1:256" ht="23.1" customHeight="1" x14ac:dyDescent="0.25">
      <c r="A945" s="5"/>
      <c r="B945" s="288"/>
      <c r="C945" s="12"/>
      <c r="D945" s="12"/>
      <c r="E945" s="12"/>
      <c r="F945" s="12"/>
      <c r="G945" s="12"/>
      <c r="H945" s="12"/>
      <c r="I945" s="12"/>
      <c r="J945" s="73"/>
      <c r="K945" s="73"/>
      <c r="L945" s="73"/>
      <c r="M945" s="73"/>
      <c r="N945" s="12"/>
      <c r="O945" s="12"/>
      <c r="P945" s="12"/>
      <c r="Q945" s="12"/>
      <c r="R945" s="12"/>
      <c r="S945" s="12"/>
      <c r="T945" s="12"/>
      <c r="U945" s="5"/>
      <c r="V945" s="5"/>
      <c r="W945" s="5"/>
      <c r="X945" s="5"/>
      <c r="Y945" s="5"/>
      <c r="Z945" s="5"/>
      <c r="AA945" s="69"/>
      <c r="AB945" s="69"/>
      <c r="AC945" s="5"/>
      <c r="AD945" s="88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</row>
    <row r="946" spans="1:256" ht="23.1" customHeight="1" x14ac:dyDescent="0.25">
      <c r="A946" s="5"/>
      <c r="B946" s="288"/>
      <c r="C946" s="12"/>
      <c r="D946" s="12"/>
      <c r="E946" s="12"/>
      <c r="F946" s="12"/>
      <c r="G946" s="12"/>
      <c r="H946" s="12"/>
      <c r="I946" s="12"/>
      <c r="J946" s="73"/>
      <c r="K946" s="73"/>
      <c r="L946" s="73"/>
      <c r="M946" s="73"/>
      <c r="N946" s="12"/>
      <c r="O946" s="12"/>
      <c r="P946" s="12"/>
      <c r="Q946" s="12"/>
      <c r="R946" s="12"/>
      <c r="S946" s="12"/>
      <c r="T946" s="12"/>
      <c r="U946" s="5"/>
      <c r="V946" s="5"/>
      <c r="W946" s="5"/>
      <c r="X946" s="5"/>
      <c r="Y946" s="5"/>
      <c r="Z946" s="5"/>
      <c r="AA946" s="69"/>
      <c r="AB946" s="69"/>
      <c r="AC946" s="5"/>
      <c r="AD946" s="88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</row>
    <row r="947" spans="1:256" ht="23.1" customHeight="1" x14ac:dyDescent="0.25">
      <c r="A947" s="5"/>
      <c r="B947" s="288"/>
      <c r="C947" s="12"/>
      <c r="D947" s="12"/>
      <c r="E947" s="12"/>
      <c r="F947" s="12"/>
      <c r="G947" s="12"/>
      <c r="H947" s="12"/>
      <c r="I947" s="12"/>
      <c r="J947" s="73"/>
      <c r="K947" s="73"/>
      <c r="L947" s="73"/>
      <c r="M947" s="73"/>
      <c r="N947" s="12"/>
      <c r="O947" s="12"/>
      <c r="P947" s="12"/>
      <c r="Q947" s="12"/>
      <c r="R947" s="12"/>
      <c r="S947" s="12"/>
      <c r="T947" s="12"/>
      <c r="U947" s="5"/>
      <c r="V947" s="5"/>
      <c r="W947" s="5"/>
      <c r="X947" s="5"/>
      <c r="Y947" s="5"/>
      <c r="Z947" s="5"/>
      <c r="AA947" s="69"/>
      <c r="AB947" s="69"/>
      <c r="AC947" s="5"/>
      <c r="AD947" s="88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</row>
    <row r="948" spans="1:256" ht="23.1" customHeight="1" x14ac:dyDescent="0.25">
      <c r="A948" s="5"/>
      <c r="B948" s="288"/>
      <c r="C948" s="12"/>
      <c r="D948" s="12"/>
      <c r="E948" s="12"/>
      <c r="F948" s="12"/>
      <c r="G948" s="12"/>
      <c r="H948" s="12"/>
      <c r="I948" s="12"/>
      <c r="J948" s="73"/>
      <c r="K948" s="73"/>
      <c r="L948" s="73"/>
      <c r="M948" s="73"/>
      <c r="N948" s="12"/>
      <c r="O948" s="12"/>
      <c r="P948" s="12"/>
      <c r="Q948" s="12"/>
      <c r="R948" s="12"/>
      <c r="S948" s="12"/>
      <c r="T948" s="12"/>
      <c r="U948" s="5"/>
      <c r="V948" s="5"/>
      <c r="W948" s="5"/>
      <c r="X948" s="5"/>
      <c r="Y948" s="5"/>
      <c r="Z948" s="5"/>
      <c r="AA948" s="69"/>
      <c r="AB948" s="69"/>
      <c r="AC948" s="5"/>
      <c r="AD948" s="88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</row>
    <row r="949" spans="1:256" ht="23.1" customHeight="1" x14ac:dyDescent="0.25">
      <c r="A949" s="5"/>
      <c r="B949" s="288"/>
      <c r="C949" s="12"/>
      <c r="D949" s="12"/>
      <c r="E949" s="12"/>
      <c r="F949" s="12"/>
      <c r="G949" s="12"/>
      <c r="H949" s="12"/>
      <c r="I949" s="12"/>
      <c r="J949" s="73"/>
      <c r="K949" s="73"/>
      <c r="L949" s="73"/>
      <c r="M949" s="73"/>
      <c r="N949" s="12"/>
      <c r="O949" s="12"/>
      <c r="P949" s="12"/>
      <c r="Q949" s="12"/>
      <c r="R949" s="12"/>
      <c r="S949" s="12"/>
      <c r="T949" s="12"/>
      <c r="U949" s="5"/>
      <c r="V949" s="5"/>
      <c r="W949" s="5"/>
      <c r="X949" s="5"/>
      <c r="Y949" s="5"/>
      <c r="Z949" s="5"/>
      <c r="AA949" s="69"/>
      <c r="AB949" s="69"/>
      <c r="AC949" s="5"/>
      <c r="AD949" s="88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</row>
    <row r="950" spans="1:256" ht="23.1" customHeight="1" x14ac:dyDescent="0.25">
      <c r="A950" s="5"/>
      <c r="B950" s="288"/>
      <c r="C950" s="12"/>
      <c r="D950" s="12"/>
      <c r="E950" s="12"/>
      <c r="F950" s="12"/>
      <c r="G950" s="12"/>
      <c r="H950" s="12"/>
      <c r="I950" s="12"/>
      <c r="J950" s="73"/>
      <c r="K950" s="73"/>
      <c r="L950" s="73"/>
      <c r="M950" s="73"/>
      <c r="N950" s="12"/>
      <c r="O950" s="12"/>
      <c r="P950" s="12"/>
      <c r="Q950" s="12"/>
      <c r="R950" s="12"/>
      <c r="S950" s="12"/>
      <c r="T950" s="12"/>
      <c r="U950" s="5"/>
      <c r="V950" s="5"/>
      <c r="W950" s="5"/>
      <c r="X950" s="5"/>
      <c r="Y950" s="5"/>
      <c r="Z950" s="5"/>
      <c r="AA950" s="69"/>
      <c r="AB950" s="69"/>
      <c r="AC950" s="5"/>
      <c r="AD950" s="88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</row>
    <row r="951" spans="1:256" ht="23.1" customHeight="1" x14ac:dyDescent="0.25">
      <c r="A951" s="5"/>
      <c r="B951" s="288"/>
      <c r="C951" s="12"/>
      <c r="D951" s="12"/>
      <c r="E951" s="12"/>
      <c r="F951" s="12"/>
      <c r="G951" s="12"/>
      <c r="H951" s="12"/>
      <c r="I951" s="12"/>
      <c r="J951" s="73"/>
      <c r="K951" s="73"/>
      <c r="L951" s="73"/>
      <c r="M951" s="73"/>
      <c r="N951" s="12"/>
      <c r="O951" s="12"/>
      <c r="P951" s="12"/>
      <c r="Q951" s="12"/>
      <c r="R951" s="12"/>
      <c r="S951" s="12"/>
      <c r="T951" s="12"/>
      <c r="U951" s="5"/>
      <c r="V951" s="5"/>
      <c r="W951" s="5"/>
      <c r="X951" s="5"/>
      <c r="Y951" s="5"/>
      <c r="Z951" s="5"/>
      <c r="AA951" s="69"/>
      <c r="AB951" s="69"/>
      <c r="AC951" s="5"/>
      <c r="AD951" s="88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</row>
    <row r="952" spans="1:256" ht="23.1" customHeight="1" x14ac:dyDescent="0.25">
      <c r="A952" s="5"/>
      <c r="B952" s="288"/>
      <c r="C952" s="12"/>
      <c r="D952" s="12"/>
      <c r="E952" s="12"/>
      <c r="F952" s="12"/>
      <c r="G952" s="12"/>
      <c r="H952" s="12"/>
      <c r="I952" s="12"/>
      <c r="J952" s="73"/>
      <c r="K952" s="73"/>
      <c r="L952" s="73"/>
      <c r="M952" s="73"/>
      <c r="N952" s="12"/>
      <c r="O952" s="12"/>
      <c r="P952" s="12"/>
      <c r="Q952" s="12"/>
      <c r="R952" s="12"/>
      <c r="S952" s="12"/>
      <c r="T952" s="12"/>
      <c r="U952" s="5"/>
      <c r="V952" s="5"/>
      <c r="W952" s="5"/>
      <c r="X952" s="5"/>
      <c r="Y952" s="5"/>
      <c r="Z952" s="5"/>
      <c r="AA952" s="69"/>
      <c r="AB952" s="69"/>
      <c r="AC952" s="5"/>
      <c r="AD952" s="88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</row>
    <row r="953" spans="1:256" ht="23.1" customHeight="1" x14ac:dyDescent="0.25">
      <c r="A953" s="5"/>
      <c r="B953" s="288"/>
      <c r="C953" s="12"/>
      <c r="D953" s="12"/>
      <c r="E953" s="12"/>
      <c r="F953" s="12"/>
      <c r="G953" s="12"/>
      <c r="H953" s="12"/>
      <c r="I953" s="12"/>
      <c r="J953" s="73"/>
      <c r="K953" s="73"/>
      <c r="L953" s="73"/>
      <c r="M953" s="73"/>
      <c r="N953" s="12"/>
      <c r="O953" s="12"/>
      <c r="P953" s="12"/>
      <c r="Q953" s="12"/>
      <c r="R953" s="12"/>
      <c r="S953" s="12"/>
      <c r="T953" s="12"/>
      <c r="U953" s="5"/>
      <c r="V953" s="5"/>
      <c r="W953" s="5"/>
      <c r="X953" s="5"/>
      <c r="Y953" s="5"/>
      <c r="Z953" s="5"/>
      <c r="AA953" s="69"/>
      <c r="AB953" s="69"/>
      <c r="AC953" s="5"/>
      <c r="AD953" s="88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</row>
    <row r="954" spans="1:256" ht="23.1" customHeight="1" x14ac:dyDescent="0.25">
      <c r="A954" s="5"/>
      <c r="B954" s="288"/>
      <c r="C954" s="12"/>
      <c r="D954" s="12"/>
      <c r="E954" s="12"/>
      <c r="F954" s="12"/>
      <c r="G954" s="12"/>
      <c r="H954" s="12"/>
      <c r="I954" s="12"/>
      <c r="J954" s="73"/>
      <c r="K954" s="73"/>
      <c r="L954" s="73"/>
      <c r="M954" s="73"/>
      <c r="N954" s="12"/>
      <c r="O954" s="12"/>
      <c r="P954" s="12"/>
      <c r="Q954" s="12"/>
      <c r="R954" s="12"/>
      <c r="S954" s="12"/>
      <c r="T954" s="12"/>
      <c r="U954" s="5"/>
      <c r="V954" s="5"/>
      <c r="W954" s="5"/>
      <c r="X954" s="5"/>
      <c r="Y954" s="5"/>
      <c r="Z954" s="5"/>
      <c r="AA954" s="69"/>
      <c r="AB954" s="69"/>
      <c r="AC954" s="5"/>
      <c r="AD954" s="88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</row>
    <row r="955" spans="1:256" ht="23.1" customHeight="1" x14ac:dyDescent="0.25">
      <c r="A955" s="5"/>
      <c r="B955" s="288"/>
      <c r="C955" s="12"/>
      <c r="D955" s="12"/>
      <c r="E955" s="12"/>
      <c r="F955" s="12"/>
      <c r="G955" s="12"/>
      <c r="H955" s="12"/>
      <c r="I955" s="12"/>
      <c r="J955" s="73"/>
      <c r="K955" s="73"/>
      <c r="L955" s="73"/>
      <c r="M955" s="73"/>
      <c r="N955" s="12"/>
      <c r="O955" s="12"/>
      <c r="P955" s="12"/>
      <c r="Q955" s="12"/>
      <c r="R955" s="12"/>
      <c r="S955" s="12"/>
      <c r="T955" s="12"/>
      <c r="U955" s="5"/>
      <c r="V955" s="5"/>
      <c r="W955" s="5"/>
      <c r="X955" s="5"/>
      <c r="Y955" s="5"/>
      <c r="Z955" s="5"/>
      <c r="AA955" s="69"/>
      <c r="AB955" s="69"/>
      <c r="AC955" s="5"/>
      <c r="AD955" s="88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</row>
    <row r="956" spans="1:256" ht="23.1" customHeight="1" x14ac:dyDescent="0.25">
      <c r="A956" s="5"/>
      <c r="B956" s="288"/>
      <c r="C956" s="12"/>
      <c r="D956" s="12"/>
      <c r="E956" s="12"/>
      <c r="F956" s="12"/>
      <c r="G956" s="12"/>
      <c r="H956" s="12"/>
      <c r="I956" s="12"/>
      <c r="J956" s="73"/>
      <c r="K956" s="73"/>
      <c r="L956" s="73"/>
      <c r="M956" s="73"/>
      <c r="N956" s="12"/>
      <c r="O956" s="12"/>
      <c r="P956" s="12"/>
      <c r="Q956" s="12"/>
      <c r="R956" s="12"/>
      <c r="S956" s="12"/>
      <c r="T956" s="12"/>
      <c r="U956" s="5"/>
      <c r="V956" s="5"/>
      <c r="W956" s="5"/>
      <c r="X956" s="5"/>
      <c r="Y956" s="5"/>
      <c r="Z956" s="5"/>
      <c r="AA956" s="69"/>
      <c r="AB956" s="69"/>
      <c r="AC956" s="5"/>
      <c r="AD956" s="88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</row>
    <row r="957" spans="1:256" ht="23.1" customHeight="1" x14ac:dyDescent="0.25">
      <c r="A957" s="5"/>
      <c r="B957" s="288"/>
      <c r="C957" s="12"/>
      <c r="D957" s="12"/>
      <c r="E957" s="12"/>
      <c r="F957" s="12"/>
      <c r="G957" s="12"/>
      <c r="H957" s="12"/>
      <c r="I957" s="12"/>
      <c r="J957" s="73"/>
      <c r="K957" s="73"/>
      <c r="L957" s="73"/>
      <c r="M957" s="73"/>
      <c r="N957" s="12"/>
      <c r="O957" s="12"/>
      <c r="P957" s="12"/>
      <c r="Q957" s="12"/>
      <c r="R957" s="12"/>
      <c r="S957" s="12"/>
      <c r="T957" s="12"/>
      <c r="U957" s="5"/>
      <c r="V957" s="5"/>
      <c r="W957" s="5"/>
      <c r="X957" s="5"/>
      <c r="Y957" s="5"/>
      <c r="Z957" s="5"/>
      <c r="AA957" s="69"/>
      <c r="AB957" s="69"/>
      <c r="AC957" s="5"/>
      <c r="AD957" s="88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</row>
    <row r="958" spans="1:256" ht="23.1" customHeight="1" x14ac:dyDescent="0.25">
      <c r="A958" s="5"/>
      <c r="B958" s="288"/>
      <c r="C958" s="12"/>
      <c r="D958" s="12"/>
      <c r="E958" s="12"/>
      <c r="F958" s="12"/>
      <c r="G958" s="12"/>
      <c r="H958" s="12"/>
      <c r="I958" s="12"/>
      <c r="J958" s="73"/>
      <c r="K958" s="73"/>
      <c r="L958" s="73"/>
      <c r="M958" s="73"/>
      <c r="N958" s="12"/>
      <c r="O958" s="12"/>
      <c r="P958" s="12"/>
      <c r="Q958" s="12"/>
      <c r="R958" s="12"/>
      <c r="S958" s="12"/>
      <c r="T958" s="12"/>
      <c r="U958" s="5"/>
      <c r="V958" s="5"/>
      <c r="W958" s="5"/>
      <c r="X958" s="5"/>
      <c r="Y958" s="5"/>
      <c r="Z958" s="5"/>
      <c r="AA958" s="69"/>
      <c r="AB958" s="69"/>
      <c r="AC958" s="5"/>
      <c r="AD958" s="88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</row>
    <row r="959" spans="1:256" ht="23.1" customHeight="1" x14ac:dyDescent="0.25">
      <c r="A959" s="5"/>
      <c r="B959" s="288"/>
      <c r="C959" s="12"/>
      <c r="D959" s="12"/>
      <c r="E959" s="12"/>
      <c r="F959" s="12"/>
      <c r="G959" s="12"/>
      <c r="H959" s="12"/>
      <c r="I959" s="12"/>
      <c r="J959" s="73"/>
      <c r="K959" s="73"/>
      <c r="L959" s="73"/>
      <c r="M959" s="73"/>
      <c r="N959" s="12"/>
      <c r="O959" s="12"/>
      <c r="P959" s="12"/>
      <c r="Q959" s="12"/>
      <c r="R959" s="12"/>
      <c r="S959" s="12"/>
      <c r="T959" s="12"/>
      <c r="U959" s="5"/>
      <c r="V959" s="5"/>
      <c r="W959" s="5"/>
      <c r="X959" s="5"/>
      <c r="Y959" s="5"/>
      <c r="Z959" s="5"/>
      <c r="AA959" s="69"/>
      <c r="AB959" s="69"/>
      <c r="AC959" s="5"/>
      <c r="AD959" s="88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</row>
    <row r="960" spans="1:256" ht="23.1" customHeight="1" x14ac:dyDescent="0.25">
      <c r="A960" s="5"/>
      <c r="B960" s="288"/>
      <c r="C960" s="12"/>
      <c r="D960" s="12"/>
      <c r="E960" s="12"/>
      <c r="F960" s="12"/>
      <c r="G960" s="12"/>
      <c r="H960" s="12"/>
      <c r="I960" s="12"/>
      <c r="J960" s="73"/>
      <c r="K960" s="73"/>
      <c r="L960" s="73"/>
      <c r="M960" s="73"/>
      <c r="N960" s="12"/>
      <c r="O960" s="12"/>
      <c r="P960" s="12"/>
      <c r="Q960" s="12"/>
      <c r="R960" s="12"/>
      <c r="S960" s="12"/>
      <c r="T960" s="12"/>
      <c r="U960" s="5"/>
      <c r="V960" s="5"/>
      <c r="W960" s="5"/>
      <c r="X960" s="5"/>
      <c r="Y960" s="5"/>
      <c r="Z960" s="5"/>
      <c r="AA960" s="69"/>
      <c r="AB960" s="69"/>
      <c r="AC960" s="5"/>
      <c r="AD960" s="88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</row>
    <row r="961" spans="1:256" ht="23.1" customHeight="1" x14ac:dyDescent="0.25">
      <c r="A961" s="5"/>
      <c r="B961" s="288"/>
      <c r="C961" s="12"/>
      <c r="D961" s="12"/>
      <c r="E961" s="12"/>
      <c r="F961" s="12"/>
      <c r="G961" s="12"/>
      <c r="H961" s="12"/>
      <c r="I961" s="12"/>
      <c r="J961" s="73"/>
      <c r="K961" s="73"/>
      <c r="L961" s="73"/>
      <c r="M961" s="73"/>
      <c r="N961" s="12"/>
      <c r="O961" s="12"/>
      <c r="P961" s="12"/>
      <c r="Q961" s="12"/>
      <c r="R961" s="12"/>
      <c r="S961" s="12"/>
      <c r="T961" s="12"/>
      <c r="U961" s="5"/>
      <c r="V961" s="5"/>
      <c r="W961" s="5"/>
      <c r="X961" s="5"/>
      <c r="Y961" s="5"/>
      <c r="Z961" s="5"/>
      <c r="AA961" s="69"/>
      <c r="AB961" s="69"/>
      <c r="AC961" s="5"/>
      <c r="AD961" s="88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</row>
    <row r="962" spans="1:256" ht="23.1" customHeight="1" x14ac:dyDescent="0.25">
      <c r="A962" s="5"/>
      <c r="B962" s="288"/>
      <c r="C962" s="12"/>
      <c r="D962" s="12"/>
      <c r="E962" s="12"/>
      <c r="F962" s="12"/>
      <c r="G962" s="12"/>
      <c r="H962" s="12"/>
      <c r="I962" s="12"/>
      <c r="J962" s="73"/>
      <c r="K962" s="73"/>
      <c r="L962" s="73"/>
      <c r="M962" s="73"/>
      <c r="N962" s="12"/>
      <c r="O962" s="12"/>
      <c r="P962" s="12"/>
      <c r="Q962" s="12"/>
      <c r="R962" s="12"/>
      <c r="S962" s="12"/>
      <c r="T962" s="12"/>
      <c r="U962" s="5"/>
      <c r="V962" s="5"/>
      <c r="W962" s="5"/>
      <c r="X962" s="5"/>
      <c r="Y962" s="5"/>
      <c r="Z962" s="5"/>
      <c r="AA962" s="69"/>
      <c r="AB962" s="69"/>
      <c r="AC962" s="5"/>
      <c r="AD962" s="88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</row>
    <row r="963" spans="1:256" ht="23.1" customHeight="1" x14ac:dyDescent="0.25">
      <c r="A963" s="5"/>
      <c r="B963" s="288"/>
      <c r="C963" s="12"/>
      <c r="D963" s="12"/>
      <c r="E963" s="12"/>
      <c r="F963" s="12"/>
      <c r="G963" s="12"/>
      <c r="H963" s="12"/>
      <c r="I963" s="12"/>
      <c r="J963" s="73"/>
      <c r="K963" s="73"/>
      <c r="L963" s="73"/>
      <c r="M963" s="73"/>
      <c r="N963" s="12"/>
      <c r="O963" s="12"/>
      <c r="P963" s="12"/>
      <c r="Q963" s="12"/>
      <c r="R963" s="12"/>
      <c r="S963" s="12"/>
      <c r="T963" s="12"/>
      <c r="U963" s="5"/>
      <c r="V963" s="5"/>
      <c r="W963" s="5"/>
      <c r="X963" s="5"/>
      <c r="Y963" s="5"/>
      <c r="Z963" s="5"/>
      <c r="AA963" s="69"/>
      <c r="AB963" s="69"/>
      <c r="AC963" s="5"/>
      <c r="AD963" s="88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</row>
    <row r="964" spans="1:256" ht="23.1" customHeight="1" x14ac:dyDescent="0.25">
      <c r="A964" s="5"/>
      <c r="B964" s="288"/>
      <c r="C964" s="12"/>
      <c r="D964" s="12"/>
      <c r="E964" s="12"/>
      <c r="F964" s="12"/>
      <c r="G964" s="12"/>
      <c r="H964" s="12"/>
      <c r="I964" s="12"/>
      <c r="J964" s="73"/>
      <c r="K964" s="73"/>
      <c r="L964" s="73"/>
      <c r="M964" s="73"/>
      <c r="N964" s="12"/>
      <c r="O964" s="12"/>
      <c r="P964" s="12"/>
      <c r="Q964" s="12"/>
      <c r="R964" s="12"/>
      <c r="S964" s="12"/>
      <c r="T964" s="12"/>
      <c r="U964" s="5"/>
      <c r="V964" s="5"/>
      <c r="W964" s="5"/>
      <c r="X964" s="5"/>
      <c r="Y964" s="5"/>
      <c r="Z964" s="5"/>
      <c r="AA964" s="69"/>
      <c r="AB964" s="69"/>
      <c r="AC964" s="5"/>
      <c r="AD964" s="88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</row>
    <row r="965" spans="1:256" ht="23.1" customHeight="1" x14ac:dyDescent="0.25">
      <c r="A965" s="5"/>
      <c r="B965" s="288"/>
      <c r="C965" s="12"/>
      <c r="D965" s="12"/>
      <c r="E965" s="12"/>
      <c r="F965" s="12"/>
      <c r="G965" s="12"/>
      <c r="H965" s="12"/>
      <c r="I965" s="12"/>
      <c r="J965" s="73"/>
      <c r="K965" s="73"/>
      <c r="L965" s="73"/>
      <c r="M965" s="73"/>
      <c r="N965" s="12"/>
      <c r="O965" s="12"/>
      <c r="P965" s="12"/>
      <c r="Q965" s="12"/>
      <c r="R965" s="12"/>
      <c r="S965" s="12"/>
      <c r="T965" s="12"/>
      <c r="U965" s="5"/>
      <c r="V965" s="5"/>
      <c r="W965" s="5"/>
      <c r="X965" s="5"/>
      <c r="Y965" s="5"/>
      <c r="Z965" s="5"/>
      <c r="AA965" s="69"/>
      <c r="AB965" s="69"/>
      <c r="AC965" s="5"/>
      <c r="AD965" s="88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</row>
    <row r="966" spans="1:256" ht="23.1" customHeight="1" x14ac:dyDescent="0.25">
      <c r="A966" s="5"/>
      <c r="B966" s="288"/>
      <c r="C966" s="12"/>
      <c r="D966" s="12"/>
      <c r="E966" s="12"/>
      <c r="F966" s="12"/>
      <c r="G966" s="12"/>
      <c r="H966" s="12"/>
      <c r="I966" s="12"/>
      <c r="J966" s="73"/>
      <c r="K966" s="73"/>
      <c r="L966" s="73"/>
      <c r="M966" s="73"/>
      <c r="N966" s="12"/>
      <c r="O966" s="12"/>
      <c r="P966" s="12"/>
      <c r="Q966" s="12"/>
      <c r="R966" s="12"/>
      <c r="S966" s="12"/>
      <c r="T966" s="12"/>
      <c r="U966" s="5"/>
      <c r="V966" s="5"/>
      <c r="W966" s="5"/>
      <c r="X966" s="5"/>
      <c r="Y966" s="5"/>
      <c r="Z966" s="5"/>
      <c r="AA966" s="69"/>
      <c r="AB966" s="69"/>
      <c r="AC966" s="5"/>
      <c r="AD966" s="88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</row>
    <row r="967" spans="1:256" ht="23.1" customHeight="1" x14ac:dyDescent="0.25">
      <c r="A967" s="5"/>
      <c r="B967" s="288"/>
      <c r="C967" s="12"/>
      <c r="D967" s="12"/>
      <c r="E967" s="12"/>
      <c r="F967" s="12"/>
      <c r="G967" s="12"/>
      <c r="H967" s="12"/>
      <c r="I967" s="12"/>
      <c r="J967" s="73"/>
      <c r="K967" s="73"/>
      <c r="L967" s="73"/>
      <c r="M967" s="73"/>
      <c r="N967" s="12"/>
      <c r="O967" s="12"/>
      <c r="P967" s="12"/>
      <c r="Q967" s="12"/>
      <c r="R967" s="12"/>
      <c r="S967" s="12"/>
      <c r="T967" s="12"/>
      <c r="U967" s="5"/>
      <c r="V967" s="5"/>
      <c r="W967" s="5"/>
      <c r="X967" s="5"/>
      <c r="Y967" s="5"/>
      <c r="Z967" s="5"/>
      <c r="AA967" s="69"/>
      <c r="AB967" s="69"/>
      <c r="AC967" s="5"/>
      <c r="AD967" s="88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</row>
    <row r="968" spans="1:256" ht="23.1" customHeight="1" x14ac:dyDescent="0.25">
      <c r="A968" s="5"/>
      <c r="B968" s="288"/>
      <c r="C968" s="12"/>
      <c r="D968" s="12"/>
      <c r="E968" s="12"/>
      <c r="F968" s="12"/>
      <c r="G968" s="12"/>
      <c r="H968" s="12"/>
      <c r="I968" s="12"/>
      <c r="J968" s="73"/>
      <c r="K968" s="73"/>
      <c r="L968" s="73"/>
      <c r="M968" s="73"/>
      <c r="N968" s="12"/>
      <c r="O968" s="12"/>
      <c r="P968" s="12"/>
      <c r="Q968" s="12"/>
      <c r="R968" s="12"/>
      <c r="S968" s="12"/>
      <c r="T968" s="12"/>
      <c r="U968" s="5"/>
      <c r="V968" s="5"/>
      <c r="W968" s="5"/>
      <c r="X968" s="5"/>
      <c r="Y968" s="5"/>
      <c r="Z968" s="5"/>
      <c r="AA968" s="69"/>
      <c r="AB968" s="69"/>
      <c r="AC968" s="5"/>
      <c r="AD968" s="88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</row>
    <row r="969" spans="1:256" ht="23.1" customHeight="1" x14ac:dyDescent="0.25">
      <c r="A969" s="5"/>
      <c r="B969" s="288"/>
      <c r="C969" s="12"/>
      <c r="D969" s="12"/>
      <c r="E969" s="12"/>
      <c r="F969" s="12"/>
      <c r="G969" s="12"/>
      <c r="H969" s="12"/>
      <c r="I969" s="12"/>
      <c r="J969" s="73"/>
      <c r="K969" s="73"/>
      <c r="L969" s="73"/>
      <c r="M969" s="73"/>
      <c r="N969" s="12"/>
      <c r="O969" s="12"/>
      <c r="P969" s="12"/>
      <c r="Q969" s="12"/>
      <c r="R969" s="12"/>
      <c r="S969" s="12"/>
      <c r="T969" s="12"/>
      <c r="U969" s="5"/>
      <c r="V969" s="5"/>
      <c r="W969" s="5"/>
      <c r="X969" s="5"/>
      <c r="Y969" s="5"/>
      <c r="Z969" s="5"/>
      <c r="AA969" s="69"/>
      <c r="AB969" s="69"/>
      <c r="AC969" s="5"/>
      <c r="AD969" s="88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</row>
    <row r="970" spans="1:256" ht="23.1" customHeight="1" x14ac:dyDescent="0.25">
      <c r="A970" s="5"/>
      <c r="B970" s="288"/>
      <c r="C970" s="12"/>
      <c r="D970" s="12"/>
      <c r="E970" s="12"/>
      <c r="F970" s="12"/>
      <c r="G970" s="12"/>
      <c r="H970" s="12"/>
      <c r="I970" s="12"/>
      <c r="J970" s="73"/>
      <c r="K970" s="73"/>
      <c r="L970" s="73"/>
      <c r="M970" s="73"/>
      <c r="N970" s="12"/>
      <c r="O970" s="12"/>
      <c r="P970" s="12"/>
      <c r="Q970" s="12"/>
      <c r="R970" s="12"/>
      <c r="S970" s="12"/>
      <c r="T970" s="12"/>
      <c r="U970" s="5"/>
      <c r="V970" s="5"/>
      <c r="W970" s="5"/>
      <c r="X970" s="5"/>
      <c r="Y970" s="5"/>
      <c r="Z970" s="5"/>
      <c r="AA970" s="69"/>
      <c r="AB970" s="69"/>
      <c r="AC970" s="5"/>
      <c r="AD970" s="88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</row>
    <row r="971" spans="1:256" ht="23.1" customHeight="1" x14ac:dyDescent="0.25">
      <c r="A971" s="5"/>
      <c r="B971" s="288"/>
      <c r="C971" s="12"/>
      <c r="D971" s="12"/>
      <c r="E971" s="12"/>
      <c r="F971" s="12"/>
      <c r="G971" s="12"/>
      <c r="H971" s="12"/>
      <c r="I971" s="12"/>
      <c r="J971" s="73"/>
      <c r="K971" s="73"/>
      <c r="L971" s="73"/>
      <c r="M971" s="73"/>
      <c r="N971" s="12"/>
      <c r="O971" s="12"/>
      <c r="P971" s="12"/>
      <c r="Q971" s="12"/>
      <c r="R971" s="12"/>
      <c r="S971" s="12"/>
      <c r="T971" s="12"/>
      <c r="U971" s="5"/>
      <c r="V971" s="5"/>
      <c r="W971" s="5"/>
      <c r="X971" s="5"/>
      <c r="Y971" s="5"/>
      <c r="Z971" s="5"/>
      <c r="AA971" s="69"/>
      <c r="AB971" s="69"/>
      <c r="AC971" s="5"/>
      <c r="AD971" s="88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</row>
    <row r="972" spans="1:256" ht="23.1" customHeight="1" x14ac:dyDescent="0.25">
      <c r="A972" s="5"/>
      <c r="B972" s="288"/>
      <c r="C972" s="12"/>
      <c r="D972" s="12"/>
      <c r="E972" s="12"/>
      <c r="F972" s="12"/>
      <c r="G972" s="12"/>
      <c r="H972" s="12"/>
      <c r="I972" s="12"/>
      <c r="J972" s="73"/>
      <c r="K972" s="73"/>
      <c r="L972" s="73"/>
      <c r="M972" s="73"/>
      <c r="N972" s="12"/>
      <c r="O972" s="12"/>
      <c r="P972" s="12"/>
      <c r="Q972" s="12"/>
      <c r="R972" s="12"/>
      <c r="S972" s="12"/>
      <c r="T972" s="12"/>
      <c r="U972" s="5"/>
      <c r="V972" s="5"/>
      <c r="W972" s="5"/>
      <c r="X972" s="5"/>
      <c r="Y972" s="5"/>
      <c r="Z972" s="5"/>
      <c r="AA972" s="69"/>
      <c r="AB972" s="69"/>
      <c r="AC972" s="5"/>
      <c r="AD972" s="88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</row>
    <row r="973" spans="1:256" ht="23.1" customHeight="1" x14ac:dyDescent="0.25">
      <c r="A973" s="5"/>
      <c r="B973" s="288"/>
      <c r="C973" s="12"/>
      <c r="D973" s="12"/>
      <c r="E973" s="12"/>
      <c r="F973" s="12"/>
      <c r="G973" s="12"/>
      <c r="H973" s="12"/>
      <c r="I973" s="12"/>
      <c r="J973" s="73"/>
      <c r="K973" s="73"/>
      <c r="L973" s="73"/>
      <c r="M973" s="73"/>
      <c r="N973" s="12"/>
      <c r="O973" s="12"/>
      <c r="P973" s="12"/>
      <c r="Q973" s="12"/>
      <c r="R973" s="12"/>
      <c r="S973" s="12"/>
      <c r="T973" s="12"/>
      <c r="U973" s="5"/>
      <c r="V973" s="5"/>
      <c r="W973" s="5"/>
      <c r="X973" s="5"/>
      <c r="Y973" s="5"/>
      <c r="Z973" s="5"/>
      <c r="AA973" s="69"/>
      <c r="AB973" s="69"/>
      <c r="AC973" s="5"/>
      <c r="AD973" s="88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</row>
    <row r="974" spans="1:256" ht="23.1" customHeight="1" x14ac:dyDescent="0.25">
      <c r="A974" s="5"/>
      <c r="B974" s="288"/>
      <c r="C974" s="12"/>
      <c r="D974" s="12"/>
      <c r="E974" s="12"/>
      <c r="F974" s="12"/>
      <c r="G974" s="12"/>
      <c r="H974" s="12"/>
      <c r="I974" s="12"/>
      <c r="J974" s="73"/>
      <c r="K974" s="73"/>
      <c r="L974" s="73"/>
      <c r="M974" s="73"/>
      <c r="N974" s="12"/>
      <c r="O974" s="12"/>
      <c r="P974" s="12"/>
      <c r="Q974" s="12"/>
      <c r="R974" s="12"/>
      <c r="S974" s="12"/>
      <c r="T974" s="12"/>
      <c r="U974" s="5"/>
      <c r="V974" s="5"/>
      <c r="W974" s="5"/>
      <c r="X974" s="5"/>
      <c r="Y974" s="5"/>
      <c r="Z974" s="5"/>
      <c r="AA974" s="69"/>
      <c r="AB974" s="69"/>
      <c r="AC974" s="5"/>
      <c r="AD974" s="88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</row>
    <row r="975" spans="1:256" ht="23.1" customHeight="1" x14ac:dyDescent="0.25">
      <c r="A975" s="5"/>
      <c r="B975" s="288"/>
      <c r="C975" s="12"/>
      <c r="D975" s="12"/>
      <c r="E975" s="12"/>
      <c r="F975" s="12"/>
      <c r="G975" s="12"/>
      <c r="H975" s="12"/>
      <c r="I975" s="12"/>
      <c r="J975" s="73"/>
      <c r="K975" s="73"/>
      <c r="L975" s="73"/>
      <c r="M975" s="73"/>
      <c r="N975" s="12"/>
      <c r="O975" s="12"/>
      <c r="P975" s="12"/>
      <c r="Q975" s="12"/>
      <c r="R975" s="12"/>
      <c r="S975" s="12"/>
      <c r="T975" s="12"/>
      <c r="U975" s="5"/>
      <c r="V975" s="5"/>
      <c r="W975" s="5"/>
      <c r="X975" s="5"/>
      <c r="Y975" s="5"/>
      <c r="Z975" s="5"/>
      <c r="AA975" s="69"/>
      <c r="AB975" s="69"/>
      <c r="AC975" s="5"/>
      <c r="AD975" s="88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</row>
    <row r="976" spans="1:256" ht="23.1" customHeight="1" x14ac:dyDescent="0.25">
      <c r="A976" s="5"/>
      <c r="B976" s="288"/>
      <c r="C976" s="12"/>
      <c r="D976" s="12"/>
      <c r="E976" s="12"/>
      <c r="F976" s="12"/>
      <c r="G976" s="12"/>
      <c r="H976" s="12"/>
      <c r="I976" s="12"/>
      <c r="J976" s="73"/>
      <c r="K976" s="73"/>
      <c r="L976" s="73"/>
      <c r="M976" s="73"/>
      <c r="N976" s="12"/>
      <c r="O976" s="12"/>
      <c r="P976" s="12"/>
      <c r="Q976" s="12"/>
      <c r="R976" s="12"/>
      <c r="S976" s="12"/>
      <c r="T976" s="12"/>
      <c r="U976" s="5"/>
      <c r="V976" s="5"/>
      <c r="W976" s="5"/>
      <c r="X976" s="5"/>
      <c r="Y976" s="5"/>
      <c r="Z976" s="5"/>
      <c r="AA976" s="69"/>
      <c r="AB976" s="69"/>
      <c r="AC976" s="5"/>
      <c r="AD976" s="88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</row>
    <row r="977" spans="1:256" ht="23.1" customHeight="1" x14ac:dyDescent="0.25">
      <c r="A977" s="5"/>
      <c r="B977" s="288"/>
      <c r="C977" s="12"/>
      <c r="D977" s="12"/>
      <c r="E977" s="12"/>
      <c r="F977" s="12"/>
      <c r="G977" s="12"/>
      <c r="H977" s="12"/>
      <c r="I977" s="12"/>
      <c r="J977" s="73"/>
      <c r="K977" s="73"/>
      <c r="L977" s="73"/>
      <c r="M977" s="73"/>
      <c r="N977" s="12"/>
      <c r="O977" s="12"/>
      <c r="P977" s="12"/>
      <c r="Q977" s="12"/>
      <c r="R977" s="12"/>
      <c r="S977" s="12"/>
      <c r="T977" s="12"/>
      <c r="U977" s="5"/>
      <c r="V977" s="5"/>
      <c r="W977" s="5"/>
      <c r="X977" s="5"/>
      <c r="Y977" s="5"/>
      <c r="Z977" s="5"/>
      <c r="AA977" s="69"/>
      <c r="AB977" s="69"/>
      <c r="AC977" s="5"/>
      <c r="AD977" s="88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</row>
    <row r="978" spans="1:256" ht="23.1" customHeight="1" x14ac:dyDescent="0.25">
      <c r="A978" s="5"/>
      <c r="B978" s="288"/>
      <c r="C978" s="12"/>
      <c r="D978" s="12"/>
      <c r="E978" s="12"/>
      <c r="F978" s="12"/>
      <c r="G978" s="12"/>
      <c r="H978" s="12"/>
      <c r="I978" s="12"/>
      <c r="J978" s="73"/>
      <c r="K978" s="73"/>
      <c r="L978" s="73"/>
      <c r="M978" s="73"/>
      <c r="N978" s="12"/>
      <c r="O978" s="12"/>
      <c r="P978" s="12"/>
      <c r="Q978" s="12"/>
      <c r="R978" s="12"/>
      <c r="S978" s="12"/>
      <c r="T978" s="12"/>
      <c r="U978" s="5"/>
      <c r="V978" s="5"/>
      <c r="W978" s="5"/>
      <c r="X978" s="5"/>
      <c r="Y978" s="5"/>
      <c r="Z978" s="5"/>
      <c r="AA978" s="69"/>
      <c r="AB978" s="69"/>
      <c r="AC978" s="5"/>
      <c r="AD978" s="88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</row>
    <row r="979" spans="1:256" ht="23.1" customHeight="1" x14ac:dyDescent="0.25">
      <c r="A979" s="5"/>
      <c r="B979" s="288"/>
      <c r="C979" s="12"/>
      <c r="D979" s="12"/>
      <c r="E979" s="12"/>
      <c r="F979" s="12"/>
      <c r="G979" s="12"/>
      <c r="H979" s="12"/>
      <c r="I979" s="12"/>
      <c r="J979" s="73"/>
      <c r="K979" s="73"/>
      <c r="L979" s="73"/>
      <c r="M979" s="73"/>
      <c r="N979" s="12"/>
      <c r="O979" s="12"/>
      <c r="P979" s="12"/>
      <c r="Q979" s="12"/>
      <c r="R979" s="12"/>
      <c r="S979" s="12"/>
      <c r="T979" s="12"/>
      <c r="U979" s="5"/>
      <c r="V979" s="5"/>
      <c r="W979" s="5"/>
      <c r="X979" s="5"/>
      <c r="Y979" s="5"/>
      <c r="Z979" s="5"/>
      <c r="AA979" s="69"/>
      <c r="AB979" s="69"/>
      <c r="AC979" s="5"/>
      <c r="AD979" s="88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</row>
    <row r="980" spans="1:256" ht="23.1" customHeight="1" x14ac:dyDescent="0.25">
      <c r="A980" s="5"/>
      <c r="B980" s="288"/>
      <c r="C980" s="12"/>
      <c r="D980" s="12"/>
      <c r="E980" s="12"/>
      <c r="F980" s="12"/>
      <c r="G980" s="12"/>
      <c r="H980" s="12"/>
      <c r="I980" s="12"/>
      <c r="J980" s="73"/>
      <c r="K980" s="73"/>
      <c r="L980" s="73"/>
      <c r="M980" s="73"/>
      <c r="N980" s="12"/>
      <c r="O980" s="12"/>
      <c r="P980" s="12"/>
      <c r="Q980" s="12"/>
      <c r="R980" s="12"/>
      <c r="S980" s="12"/>
      <c r="T980" s="12"/>
      <c r="U980" s="5"/>
      <c r="V980" s="5"/>
      <c r="W980" s="5"/>
      <c r="X980" s="5"/>
      <c r="Y980" s="5"/>
      <c r="Z980" s="5"/>
      <c r="AA980" s="69"/>
      <c r="AB980" s="69"/>
      <c r="AC980" s="5"/>
      <c r="AD980" s="88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</row>
    <row r="981" spans="1:256" ht="23.1" customHeight="1" x14ac:dyDescent="0.25">
      <c r="A981" s="5"/>
      <c r="B981" s="288"/>
      <c r="C981" s="12"/>
      <c r="D981" s="12"/>
      <c r="E981" s="12"/>
      <c r="F981" s="12"/>
      <c r="G981" s="12"/>
      <c r="H981" s="12"/>
      <c r="I981" s="12"/>
      <c r="J981" s="73"/>
      <c r="K981" s="73"/>
      <c r="L981" s="73"/>
      <c r="M981" s="73"/>
      <c r="N981" s="12"/>
      <c r="O981" s="12"/>
      <c r="P981" s="12"/>
      <c r="Q981" s="12"/>
      <c r="R981" s="12"/>
      <c r="S981" s="12"/>
      <c r="T981" s="12"/>
      <c r="U981" s="5"/>
      <c r="V981" s="5"/>
      <c r="W981" s="5"/>
      <c r="X981" s="5"/>
      <c r="Y981" s="5"/>
      <c r="Z981" s="5"/>
      <c r="AA981" s="69"/>
      <c r="AB981" s="69"/>
      <c r="AC981" s="5"/>
      <c r="AD981" s="88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</row>
    <row r="982" spans="1:256" ht="23.1" customHeight="1" x14ac:dyDescent="0.25">
      <c r="A982" s="5"/>
      <c r="B982" s="288"/>
      <c r="C982" s="12"/>
      <c r="D982" s="12"/>
      <c r="E982" s="12"/>
      <c r="F982" s="12"/>
      <c r="G982" s="12"/>
      <c r="H982" s="12"/>
      <c r="I982" s="12"/>
      <c r="J982" s="73"/>
      <c r="K982" s="73"/>
      <c r="L982" s="73"/>
      <c r="M982" s="73"/>
      <c r="N982" s="12"/>
      <c r="O982" s="12"/>
      <c r="P982" s="12"/>
      <c r="Q982" s="12"/>
      <c r="R982" s="12"/>
      <c r="S982" s="12"/>
      <c r="T982" s="12"/>
      <c r="U982" s="5"/>
      <c r="V982" s="5"/>
      <c r="W982" s="5"/>
      <c r="X982" s="5"/>
      <c r="Y982" s="5"/>
      <c r="Z982" s="5"/>
      <c r="AA982" s="69"/>
      <c r="AB982" s="69"/>
      <c r="AC982" s="5"/>
      <c r="AD982" s="88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</row>
    <row r="983" spans="1:256" ht="23.1" customHeight="1" x14ac:dyDescent="0.25">
      <c r="A983" s="5"/>
      <c r="B983" s="288"/>
      <c r="C983" s="12"/>
      <c r="D983" s="12"/>
      <c r="E983" s="12"/>
      <c r="F983" s="12"/>
      <c r="G983" s="12"/>
      <c r="H983" s="12"/>
      <c r="I983" s="12"/>
      <c r="J983" s="73"/>
      <c r="K983" s="73"/>
      <c r="L983" s="73"/>
      <c r="M983" s="73"/>
      <c r="N983" s="12"/>
      <c r="O983" s="12"/>
      <c r="P983" s="12"/>
      <c r="Q983" s="12"/>
      <c r="R983" s="12"/>
      <c r="S983" s="12"/>
      <c r="T983" s="12"/>
      <c r="U983" s="5"/>
      <c r="V983" s="5"/>
      <c r="W983" s="5"/>
      <c r="X983" s="5"/>
      <c r="Y983" s="5"/>
      <c r="Z983" s="5"/>
      <c r="AA983" s="69"/>
      <c r="AB983" s="69"/>
      <c r="AC983" s="5"/>
      <c r="AD983" s="88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</row>
    <row r="984" spans="1:256" ht="23.1" customHeight="1" x14ac:dyDescent="0.25">
      <c r="A984" s="5"/>
      <c r="B984" s="288"/>
      <c r="C984" s="12"/>
      <c r="D984" s="12"/>
      <c r="E984" s="12"/>
      <c r="F984" s="12"/>
      <c r="G984" s="12"/>
      <c r="H984" s="12"/>
      <c r="I984" s="12"/>
      <c r="J984" s="73"/>
      <c r="K984" s="73"/>
      <c r="L984" s="73"/>
      <c r="M984" s="73"/>
      <c r="N984" s="12"/>
      <c r="O984" s="12"/>
      <c r="P984" s="12"/>
      <c r="Q984" s="12"/>
      <c r="R984" s="12"/>
      <c r="S984" s="12"/>
      <c r="T984" s="12"/>
      <c r="U984" s="5"/>
      <c r="V984" s="5"/>
      <c r="W984" s="5"/>
      <c r="X984" s="5"/>
      <c r="Y984" s="5"/>
      <c r="Z984" s="5"/>
      <c r="AA984" s="69"/>
      <c r="AB984" s="69"/>
      <c r="AC984" s="5"/>
      <c r="AD984" s="88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</row>
    <row r="985" spans="1:256" ht="23.1" customHeight="1" x14ac:dyDescent="0.25">
      <c r="A985" s="5"/>
      <c r="B985" s="288"/>
      <c r="C985" s="12"/>
      <c r="D985" s="12"/>
      <c r="E985" s="12"/>
      <c r="F985" s="12"/>
      <c r="G985" s="12"/>
      <c r="H985" s="12"/>
      <c r="I985" s="12"/>
      <c r="J985" s="73"/>
      <c r="K985" s="73"/>
      <c r="L985" s="73"/>
      <c r="M985" s="73"/>
      <c r="N985" s="12"/>
      <c r="O985" s="12"/>
      <c r="P985" s="12"/>
      <c r="Q985" s="12"/>
      <c r="R985" s="12"/>
      <c r="S985" s="12"/>
      <c r="T985" s="12"/>
      <c r="U985" s="5"/>
      <c r="V985" s="5"/>
      <c r="W985" s="5"/>
      <c r="X985" s="5"/>
      <c r="Y985" s="5"/>
      <c r="Z985" s="5"/>
      <c r="AA985" s="69"/>
      <c r="AB985" s="69"/>
      <c r="AC985" s="5"/>
      <c r="AD985" s="88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</row>
    <row r="986" spans="1:256" ht="23.1" customHeight="1" x14ac:dyDescent="0.25">
      <c r="A986" s="5"/>
      <c r="B986" s="288"/>
      <c r="C986" s="12"/>
      <c r="D986" s="12"/>
      <c r="E986" s="12"/>
      <c r="F986" s="12"/>
      <c r="G986" s="12"/>
      <c r="H986" s="12"/>
      <c r="I986" s="12"/>
      <c r="J986" s="73"/>
      <c r="K986" s="73"/>
      <c r="L986" s="73"/>
      <c r="M986" s="73"/>
      <c r="N986" s="12"/>
      <c r="O986" s="12"/>
      <c r="P986" s="12"/>
      <c r="Q986" s="12"/>
      <c r="R986" s="12"/>
      <c r="S986" s="12"/>
      <c r="T986" s="12"/>
      <c r="U986" s="5"/>
      <c r="V986" s="5"/>
      <c r="W986" s="5"/>
      <c r="X986" s="5"/>
      <c r="Y986" s="5"/>
      <c r="Z986" s="5"/>
      <c r="AA986" s="69"/>
      <c r="AB986" s="69"/>
      <c r="AC986" s="5"/>
      <c r="AD986" s="88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</row>
    <row r="987" spans="1:256" ht="23.1" customHeight="1" x14ac:dyDescent="0.25">
      <c r="A987" s="5"/>
      <c r="B987" s="288"/>
      <c r="C987" s="12"/>
      <c r="D987" s="12"/>
      <c r="E987" s="12"/>
      <c r="F987" s="12"/>
      <c r="G987" s="12"/>
      <c r="H987" s="12"/>
      <c r="I987" s="12"/>
      <c r="J987" s="73"/>
      <c r="K987" s="73"/>
      <c r="L987" s="73"/>
      <c r="M987" s="73"/>
      <c r="N987" s="12"/>
      <c r="O987" s="12"/>
      <c r="P987" s="12"/>
      <c r="Q987" s="12"/>
      <c r="R987" s="12"/>
      <c r="S987" s="12"/>
      <c r="T987" s="12"/>
      <c r="U987" s="5"/>
      <c r="V987" s="5"/>
      <c r="W987" s="5"/>
      <c r="X987" s="5"/>
      <c r="Y987" s="5"/>
      <c r="Z987" s="5"/>
      <c r="AA987" s="69"/>
      <c r="AB987" s="69"/>
      <c r="AC987" s="5"/>
      <c r="AD987" s="88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</row>
    <row r="988" spans="1:256" ht="23.1" customHeight="1" x14ac:dyDescent="0.25">
      <c r="A988" s="5"/>
      <c r="B988" s="288"/>
      <c r="C988" s="12"/>
      <c r="D988" s="12"/>
      <c r="E988" s="12"/>
      <c r="F988" s="12"/>
      <c r="G988" s="12"/>
      <c r="H988" s="12"/>
      <c r="I988" s="12"/>
      <c r="J988" s="73"/>
      <c r="K988" s="73"/>
      <c r="L988" s="73"/>
      <c r="M988" s="73"/>
      <c r="N988" s="12"/>
      <c r="O988" s="12"/>
      <c r="P988" s="12"/>
      <c r="Q988" s="12"/>
      <c r="R988" s="12"/>
      <c r="S988" s="12"/>
      <c r="T988" s="12"/>
      <c r="U988" s="5"/>
      <c r="V988" s="5"/>
      <c r="W988" s="5"/>
      <c r="X988" s="5"/>
      <c r="Y988" s="5"/>
      <c r="Z988" s="5"/>
      <c r="AA988" s="69"/>
      <c r="AB988" s="69"/>
      <c r="AC988" s="5"/>
      <c r="AD988" s="88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</row>
    <row r="989" spans="1:256" ht="23.1" customHeight="1" x14ac:dyDescent="0.25">
      <c r="A989" s="5"/>
      <c r="B989" s="288"/>
      <c r="C989" s="12"/>
      <c r="D989" s="12"/>
      <c r="E989" s="12"/>
      <c r="F989" s="12"/>
      <c r="G989" s="12"/>
      <c r="H989" s="12"/>
      <c r="I989" s="12"/>
      <c r="J989" s="73"/>
      <c r="K989" s="73"/>
      <c r="L989" s="73"/>
      <c r="M989" s="73"/>
      <c r="N989" s="12"/>
      <c r="O989" s="12"/>
      <c r="P989" s="12"/>
      <c r="Q989" s="12"/>
      <c r="R989" s="12"/>
      <c r="S989" s="12"/>
      <c r="T989" s="12"/>
      <c r="U989" s="5"/>
      <c r="V989" s="5"/>
      <c r="W989" s="5"/>
      <c r="X989" s="5"/>
      <c r="Y989" s="5"/>
      <c r="Z989" s="5"/>
      <c r="AA989" s="69"/>
      <c r="AB989" s="69"/>
      <c r="AC989" s="5"/>
      <c r="AD989" s="88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</row>
    <row r="990" spans="1:256" ht="23.1" customHeight="1" x14ac:dyDescent="0.25">
      <c r="A990" s="5"/>
      <c r="B990" s="288"/>
      <c r="C990" s="12"/>
      <c r="D990" s="12"/>
      <c r="E990" s="12"/>
      <c r="F990" s="12"/>
      <c r="G990" s="12"/>
      <c r="H990" s="12"/>
      <c r="I990" s="12"/>
      <c r="J990" s="73"/>
      <c r="K990" s="73"/>
      <c r="L990" s="73"/>
      <c r="M990" s="73"/>
      <c r="N990" s="12"/>
      <c r="O990" s="12"/>
      <c r="P990" s="12"/>
      <c r="Q990" s="12"/>
      <c r="R990" s="12"/>
      <c r="S990" s="12"/>
      <c r="T990" s="12"/>
      <c r="U990" s="5"/>
      <c r="V990" s="5"/>
      <c r="W990" s="5"/>
      <c r="X990" s="5"/>
      <c r="Y990" s="5"/>
      <c r="Z990" s="5"/>
      <c r="AA990" s="69"/>
      <c r="AB990" s="69"/>
      <c r="AC990" s="5"/>
      <c r="AD990" s="88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</row>
    <row r="991" spans="1:256" ht="23.1" customHeight="1" x14ac:dyDescent="0.25">
      <c r="A991" s="5"/>
      <c r="B991" s="288"/>
      <c r="C991" s="12"/>
      <c r="D991" s="12"/>
      <c r="E991" s="12"/>
      <c r="F991" s="12"/>
      <c r="G991" s="12"/>
      <c r="H991" s="12"/>
      <c r="I991" s="12"/>
      <c r="J991" s="73"/>
      <c r="K991" s="73"/>
      <c r="L991" s="73"/>
      <c r="M991" s="73"/>
      <c r="N991" s="12"/>
      <c r="O991" s="12"/>
      <c r="P991" s="12"/>
      <c r="Q991" s="12"/>
      <c r="R991" s="12"/>
      <c r="S991" s="12"/>
      <c r="T991" s="12"/>
      <c r="U991" s="5"/>
      <c r="V991" s="5"/>
      <c r="W991" s="5"/>
      <c r="X991" s="5"/>
      <c r="Y991" s="5"/>
      <c r="Z991" s="5"/>
      <c r="AA991" s="69"/>
      <c r="AB991" s="69"/>
      <c r="AC991" s="5"/>
      <c r="AD991" s="88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</row>
    <row r="992" spans="1:256" ht="23.1" customHeight="1" x14ac:dyDescent="0.25">
      <c r="A992" s="5"/>
      <c r="B992" s="288"/>
      <c r="C992" s="12"/>
      <c r="D992" s="12"/>
      <c r="E992" s="12"/>
      <c r="F992" s="12"/>
      <c r="G992" s="12"/>
      <c r="H992" s="12"/>
      <c r="I992" s="12"/>
      <c r="J992" s="73"/>
      <c r="K992" s="73"/>
      <c r="L992" s="73"/>
      <c r="M992" s="73"/>
      <c r="N992" s="12"/>
      <c r="O992" s="12"/>
      <c r="P992" s="12"/>
      <c r="Q992" s="12"/>
      <c r="R992" s="12"/>
      <c r="S992" s="12"/>
      <c r="T992" s="12"/>
      <c r="U992" s="5"/>
      <c r="V992" s="5"/>
      <c r="W992" s="5"/>
      <c r="X992" s="5"/>
      <c r="Y992" s="5"/>
      <c r="Z992" s="5"/>
      <c r="AA992" s="69"/>
      <c r="AB992" s="69"/>
      <c r="AC992" s="5"/>
      <c r="AD992" s="88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</row>
    <row r="993" spans="1:256" ht="23.1" customHeight="1" x14ac:dyDescent="0.25">
      <c r="A993" s="5"/>
      <c r="B993" s="288"/>
      <c r="C993" s="12"/>
      <c r="D993" s="12"/>
      <c r="E993" s="12"/>
      <c r="F993" s="12"/>
      <c r="G993" s="12"/>
      <c r="H993" s="12"/>
      <c r="I993" s="12"/>
      <c r="J993" s="73"/>
      <c r="K993" s="73"/>
      <c r="L993" s="73"/>
      <c r="M993" s="73"/>
      <c r="N993" s="12"/>
      <c r="O993" s="12"/>
      <c r="P993" s="12"/>
      <c r="Q993" s="12"/>
      <c r="R993" s="12"/>
      <c r="S993" s="12"/>
      <c r="T993" s="12"/>
      <c r="U993" s="5"/>
      <c r="V993" s="5"/>
      <c r="W993" s="5"/>
      <c r="X993" s="5"/>
      <c r="Y993" s="5"/>
      <c r="Z993" s="5"/>
      <c r="AA993" s="69"/>
      <c r="AB993" s="69"/>
      <c r="AC993" s="5"/>
      <c r="AD993" s="88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</row>
    <row r="994" spans="1:256" ht="23.1" customHeight="1" x14ac:dyDescent="0.25">
      <c r="A994" s="5"/>
      <c r="B994" s="288"/>
      <c r="C994" s="12"/>
      <c r="D994" s="12"/>
      <c r="E994" s="12"/>
      <c r="F994" s="12"/>
      <c r="G994" s="12"/>
      <c r="H994" s="12"/>
      <c r="I994" s="12"/>
      <c r="J994" s="73"/>
      <c r="K994" s="73"/>
      <c r="L994" s="73"/>
      <c r="M994" s="73"/>
      <c r="N994" s="12"/>
      <c r="O994" s="12"/>
      <c r="P994" s="12"/>
      <c r="Q994" s="12"/>
      <c r="R994" s="12"/>
      <c r="S994" s="12"/>
      <c r="T994" s="12"/>
      <c r="U994" s="5"/>
      <c r="V994" s="5"/>
      <c r="W994" s="5"/>
      <c r="X994" s="5"/>
      <c r="Y994" s="5"/>
      <c r="Z994" s="5"/>
      <c r="AA994" s="69"/>
      <c r="AB994" s="69"/>
      <c r="AC994" s="5"/>
      <c r="AD994" s="88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</row>
    <row r="995" spans="1:256" ht="23.1" customHeight="1" x14ac:dyDescent="0.25">
      <c r="A995" s="5"/>
      <c r="B995" s="288"/>
      <c r="C995" s="12"/>
      <c r="D995" s="12"/>
      <c r="E995" s="12"/>
      <c r="F995" s="12"/>
      <c r="G995" s="12"/>
      <c r="H995" s="12"/>
      <c r="I995" s="12"/>
      <c r="J995" s="73"/>
      <c r="K995" s="73"/>
      <c r="L995" s="73"/>
      <c r="M995" s="73"/>
      <c r="N995" s="12"/>
      <c r="O995" s="12"/>
      <c r="P995" s="12"/>
      <c r="Q995" s="12"/>
      <c r="R995" s="12"/>
      <c r="S995" s="12"/>
      <c r="T995" s="12"/>
      <c r="U995" s="5"/>
      <c r="V995" s="5"/>
      <c r="W995" s="5"/>
      <c r="X995" s="5"/>
      <c r="Y995" s="5"/>
      <c r="Z995" s="5"/>
      <c r="AA995" s="69"/>
      <c r="AB995" s="69"/>
      <c r="AC995" s="5"/>
      <c r="AD995" s="88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</row>
    <row r="996" spans="1:256" ht="23.1" customHeight="1" x14ac:dyDescent="0.25">
      <c r="A996" s="5"/>
      <c r="B996" s="288"/>
      <c r="C996" s="12"/>
      <c r="D996" s="12"/>
      <c r="E996" s="12"/>
      <c r="F996" s="12"/>
      <c r="G996" s="12"/>
      <c r="H996" s="12"/>
      <c r="I996" s="12"/>
      <c r="J996" s="73"/>
      <c r="K996" s="73"/>
      <c r="L996" s="73"/>
      <c r="M996" s="73"/>
      <c r="N996" s="12"/>
      <c r="O996" s="12"/>
      <c r="P996" s="12"/>
      <c r="Q996" s="12"/>
      <c r="R996" s="12"/>
      <c r="S996" s="12"/>
      <c r="T996" s="12"/>
      <c r="U996" s="5"/>
      <c r="V996" s="5"/>
      <c r="W996" s="5"/>
      <c r="X996" s="5"/>
      <c r="Y996" s="5"/>
      <c r="Z996" s="5"/>
      <c r="AA996" s="69"/>
      <c r="AB996" s="69"/>
      <c r="AC996" s="5"/>
      <c r="AD996" s="88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</row>
    <row r="997" spans="1:256" ht="23.1" customHeight="1" x14ac:dyDescent="0.25">
      <c r="A997" s="5"/>
      <c r="B997" s="288"/>
      <c r="C997" s="12"/>
      <c r="D997" s="12"/>
      <c r="E997" s="12"/>
      <c r="F997" s="12"/>
      <c r="G997" s="12"/>
      <c r="H997" s="12"/>
      <c r="I997" s="12"/>
      <c r="J997" s="73"/>
      <c r="K997" s="73"/>
      <c r="L997" s="73"/>
      <c r="M997" s="73"/>
      <c r="N997" s="12"/>
      <c r="O997" s="12"/>
      <c r="P997" s="12"/>
      <c r="Q997" s="12"/>
      <c r="R997" s="12"/>
      <c r="S997" s="12"/>
      <c r="T997" s="12"/>
      <c r="U997" s="5"/>
      <c r="V997" s="5"/>
      <c r="W997" s="5"/>
      <c r="X997" s="5"/>
      <c r="Y997" s="5"/>
      <c r="Z997" s="5"/>
      <c r="AA997" s="69"/>
      <c r="AB997" s="69"/>
      <c r="AC997" s="5"/>
      <c r="AD997" s="88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</row>
    <row r="998" spans="1:256" ht="23.1" customHeight="1" x14ac:dyDescent="0.25">
      <c r="A998" s="5"/>
      <c r="B998" s="288"/>
      <c r="C998" s="12"/>
      <c r="D998" s="12"/>
      <c r="E998" s="12"/>
      <c r="F998" s="12"/>
      <c r="G998" s="12"/>
      <c r="H998" s="12"/>
      <c r="I998" s="12"/>
      <c r="J998" s="73"/>
      <c r="K998" s="73"/>
      <c r="L998" s="73"/>
      <c r="M998" s="73"/>
      <c r="N998" s="12"/>
      <c r="O998" s="12"/>
      <c r="P998" s="12"/>
      <c r="Q998" s="12"/>
      <c r="R998" s="12"/>
      <c r="S998" s="12"/>
      <c r="T998" s="12"/>
      <c r="U998" s="5"/>
      <c r="V998" s="5"/>
      <c r="W998" s="5"/>
      <c r="X998" s="5"/>
      <c r="Y998" s="5"/>
      <c r="Z998" s="5"/>
      <c r="AA998" s="69"/>
      <c r="AB998" s="69"/>
      <c r="AC998" s="5"/>
      <c r="AD998" s="88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</row>
    <row r="999" spans="1:256" ht="23.1" customHeight="1" x14ac:dyDescent="0.25">
      <c r="A999" s="5"/>
      <c r="B999" s="288"/>
      <c r="C999" s="12"/>
      <c r="D999" s="12"/>
      <c r="E999" s="12"/>
      <c r="F999" s="12"/>
      <c r="G999" s="12"/>
      <c r="H999" s="12"/>
      <c r="I999" s="12"/>
      <c r="J999" s="73"/>
      <c r="K999" s="73"/>
      <c r="L999" s="73"/>
      <c r="M999" s="73"/>
      <c r="N999" s="12"/>
      <c r="O999" s="12"/>
      <c r="P999" s="12"/>
      <c r="Q999" s="12"/>
      <c r="R999" s="12"/>
      <c r="S999" s="12"/>
      <c r="T999" s="12"/>
      <c r="U999" s="5"/>
      <c r="V999" s="5"/>
      <c r="W999" s="5"/>
      <c r="X999" s="5"/>
      <c r="Y999" s="5"/>
      <c r="Z999" s="5"/>
      <c r="AA999" s="69"/>
      <c r="AB999" s="69"/>
      <c r="AC999" s="5"/>
      <c r="AD999" s="88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</row>
    <row r="1000" spans="1:256" ht="23.1" customHeight="1" x14ac:dyDescent="0.25">
      <c r="A1000" s="5"/>
      <c r="B1000" s="288"/>
      <c r="C1000" s="12"/>
      <c r="D1000" s="12"/>
      <c r="E1000" s="12"/>
      <c r="F1000" s="12"/>
      <c r="G1000" s="12"/>
      <c r="H1000" s="12"/>
      <c r="I1000" s="12"/>
      <c r="J1000" s="73"/>
      <c r="K1000" s="73"/>
      <c r="L1000" s="73"/>
      <c r="M1000" s="73"/>
      <c r="N1000" s="12"/>
      <c r="O1000" s="12"/>
      <c r="P1000" s="12"/>
      <c r="Q1000" s="12"/>
      <c r="R1000" s="12"/>
      <c r="S1000" s="12"/>
      <c r="T1000" s="12"/>
      <c r="U1000" s="5"/>
      <c r="V1000" s="5"/>
      <c r="W1000" s="5"/>
      <c r="X1000" s="5"/>
      <c r="Y1000" s="5"/>
      <c r="Z1000" s="5"/>
      <c r="AA1000" s="69"/>
      <c r="AB1000" s="69"/>
      <c r="AC1000" s="5"/>
      <c r="AD1000" s="88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</row>
    <row r="1001" spans="1:256" ht="23.1" customHeight="1" x14ac:dyDescent="0.25">
      <c r="A1001" s="5"/>
      <c r="B1001" s="288"/>
      <c r="C1001" s="12"/>
      <c r="D1001" s="12"/>
      <c r="E1001" s="12"/>
      <c r="F1001" s="12"/>
      <c r="G1001" s="12"/>
      <c r="H1001" s="12"/>
      <c r="I1001" s="12"/>
      <c r="J1001" s="73"/>
      <c r="K1001" s="73"/>
      <c r="L1001" s="73"/>
      <c r="M1001" s="73"/>
      <c r="N1001" s="12"/>
      <c r="O1001" s="12"/>
      <c r="P1001" s="12"/>
      <c r="Q1001" s="12"/>
      <c r="R1001" s="12"/>
      <c r="S1001" s="12"/>
      <c r="T1001" s="12"/>
      <c r="U1001" s="5"/>
      <c r="V1001" s="5"/>
      <c r="W1001" s="5"/>
      <c r="X1001" s="5"/>
      <c r="Y1001" s="5"/>
      <c r="Z1001" s="5"/>
      <c r="AA1001" s="69"/>
      <c r="AB1001" s="69"/>
      <c r="AC1001" s="5"/>
      <c r="AD1001" s="88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</row>
    <row r="1002" spans="1:256" ht="23.1" customHeight="1" x14ac:dyDescent="0.25">
      <c r="A1002" s="5"/>
      <c r="B1002" s="288"/>
      <c r="C1002" s="12"/>
      <c r="D1002" s="12"/>
      <c r="E1002" s="12"/>
      <c r="F1002" s="12"/>
      <c r="G1002" s="12"/>
      <c r="H1002" s="12"/>
      <c r="I1002" s="12"/>
      <c r="J1002" s="73"/>
      <c r="K1002" s="73"/>
      <c r="L1002" s="73"/>
      <c r="M1002" s="73"/>
      <c r="N1002" s="12"/>
      <c r="O1002" s="12"/>
      <c r="P1002" s="12"/>
      <c r="Q1002" s="12"/>
      <c r="R1002" s="12"/>
      <c r="S1002" s="12"/>
      <c r="T1002" s="12"/>
      <c r="U1002" s="5"/>
      <c r="V1002" s="5"/>
      <c r="W1002" s="5"/>
      <c r="X1002" s="5"/>
      <c r="Y1002" s="5"/>
      <c r="Z1002" s="5"/>
      <c r="AA1002" s="69"/>
      <c r="AB1002" s="69"/>
      <c r="AC1002" s="5"/>
      <c r="AD1002" s="88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</row>
    <row r="1003" spans="1:256" ht="23.1" customHeight="1" x14ac:dyDescent="0.25">
      <c r="A1003" s="5"/>
      <c r="B1003" s="288"/>
      <c r="C1003" s="12"/>
      <c r="D1003" s="12"/>
      <c r="E1003" s="12"/>
      <c r="F1003" s="12"/>
      <c r="G1003" s="12"/>
      <c r="H1003" s="12"/>
      <c r="I1003" s="12"/>
      <c r="J1003" s="73"/>
      <c r="K1003" s="73"/>
      <c r="L1003" s="73"/>
      <c r="M1003" s="73"/>
      <c r="N1003" s="12"/>
      <c r="O1003" s="12"/>
      <c r="P1003" s="12"/>
      <c r="Q1003" s="12"/>
      <c r="R1003" s="12"/>
      <c r="S1003" s="12"/>
      <c r="T1003" s="12"/>
      <c r="U1003" s="5"/>
      <c r="V1003" s="5"/>
      <c r="W1003" s="5"/>
      <c r="X1003" s="5"/>
      <c r="Y1003" s="5"/>
      <c r="Z1003" s="5"/>
      <c r="AA1003" s="69"/>
      <c r="AB1003" s="69"/>
      <c r="AC1003" s="5"/>
      <c r="AD1003" s="88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</row>
    <row r="1004" spans="1:256" ht="23.1" customHeight="1" x14ac:dyDescent="0.25">
      <c r="A1004" s="5"/>
      <c r="B1004" s="288"/>
      <c r="C1004" s="12"/>
      <c r="D1004" s="12"/>
      <c r="E1004" s="12"/>
      <c r="F1004" s="12"/>
      <c r="G1004" s="12"/>
      <c r="H1004" s="12"/>
      <c r="I1004" s="12"/>
      <c r="J1004" s="73"/>
      <c r="K1004" s="73"/>
      <c r="L1004" s="73"/>
      <c r="M1004" s="73"/>
      <c r="N1004" s="12"/>
      <c r="O1004" s="12"/>
      <c r="P1004" s="12"/>
      <c r="Q1004" s="12"/>
      <c r="R1004" s="12"/>
      <c r="S1004" s="12"/>
      <c r="T1004" s="12"/>
      <c r="U1004" s="5"/>
      <c r="V1004" s="5"/>
      <c r="W1004" s="5"/>
      <c r="X1004" s="5"/>
      <c r="Y1004" s="5"/>
      <c r="Z1004" s="5"/>
      <c r="AA1004" s="69"/>
      <c r="AB1004" s="69"/>
      <c r="AC1004" s="5"/>
      <c r="AD1004" s="88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</row>
    <row r="1005" spans="1:256" ht="23.1" customHeight="1" x14ac:dyDescent="0.25">
      <c r="A1005" s="5"/>
      <c r="B1005" s="288"/>
      <c r="C1005" s="12"/>
      <c r="D1005" s="12"/>
      <c r="E1005" s="12"/>
      <c r="F1005" s="12"/>
      <c r="G1005" s="12"/>
      <c r="H1005" s="12"/>
      <c r="I1005" s="12"/>
      <c r="J1005" s="73"/>
      <c r="K1005" s="73"/>
      <c r="L1005" s="73"/>
      <c r="M1005" s="73"/>
      <c r="N1005" s="12"/>
      <c r="O1005" s="12"/>
      <c r="P1005" s="12"/>
      <c r="Q1005" s="12"/>
      <c r="R1005" s="12"/>
      <c r="S1005" s="12"/>
      <c r="T1005" s="12"/>
      <c r="U1005" s="5"/>
      <c r="V1005" s="5"/>
      <c r="W1005" s="5"/>
      <c r="X1005" s="5"/>
      <c r="Y1005" s="5"/>
      <c r="Z1005" s="5"/>
      <c r="AA1005" s="69"/>
      <c r="AB1005" s="69"/>
      <c r="AC1005" s="5"/>
      <c r="AD1005" s="88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</row>
    <row r="1006" spans="1:256" ht="23.1" customHeight="1" x14ac:dyDescent="0.25">
      <c r="A1006" s="5"/>
      <c r="B1006" s="288"/>
      <c r="C1006" s="12"/>
      <c r="D1006" s="12"/>
      <c r="E1006" s="12"/>
      <c r="F1006" s="12"/>
      <c r="G1006" s="12"/>
      <c r="H1006" s="12"/>
      <c r="I1006" s="12"/>
      <c r="J1006" s="73"/>
      <c r="K1006" s="73"/>
      <c r="L1006" s="73"/>
      <c r="M1006" s="73"/>
      <c r="N1006" s="12"/>
      <c r="O1006" s="12"/>
      <c r="P1006" s="12"/>
      <c r="Q1006" s="12"/>
      <c r="R1006" s="12"/>
      <c r="S1006" s="12"/>
      <c r="T1006" s="12"/>
      <c r="U1006" s="5"/>
      <c r="V1006" s="5"/>
      <c r="W1006" s="5"/>
      <c r="X1006" s="5"/>
      <c r="Y1006" s="5"/>
      <c r="Z1006" s="5"/>
      <c r="AA1006" s="69"/>
      <c r="AB1006" s="69"/>
      <c r="AC1006" s="5"/>
      <c r="AD1006" s="88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</row>
    <row r="1007" spans="1:256" ht="23.1" customHeight="1" x14ac:dyDescent="0.25">
      <c r="A1007" s="5"/>
      <c r="B1007" s="288"/>
      <c r="C1007" s="12"/>
      <c r="D1007" s="12"/>
      <c r="E1007" s="12"/>
      <c r="F1007" s="12"/>
      <c r="G1007" s="12"/>
      <c r="H1007" s="12"/>
      <c r="I1007" s="12"/>
      <c r="J1007" s="73"/>
      <c r="K1007" s="73"/>
      <c r="L1007" s="73"/>
      <c r="M1007" s="73"/>
      <c r="N1007" s="12"/>
      <c r="O1007" s="12"/>
      <c r="P1007" s="12"/>
      <c r="Q1007" s="12"/>
      <c r="R1007" s="12"/>
      <c r="S1007" s="12"/>
      <c r="T1007" s="12"/>
      <c r="U1007" s="5"/>
      <c r="V1007" s="5"/>
      <c r="W1007" s="5"/>
      <c r="X1007" s="5"/>
      <c r="Y1007" s="5"/>
      <c r="Z1007" s="5"/>
      <c r="AA1007" s="69"/>
      <c r="AB1007" s="69"/>
      <c r="AC1007" s="5"/>
      <c r="AD1007" s="88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</row>
    <row r="1008" spans="1:256" ht="23.1" customHeight="1" x14ac:dyDescent="0.25">
      <c r="A1008" s="5"/>
      <c r="B1008" s="288"/>
      <c r="C1008" s="12"/>
      <c r="D1008" s="12"/>
      <c r="E1008" s="12"/>
      <c r="F1008" s="12"/>
      <c r="G1008" s="12"/>
      <c r="H1008" s="12"/>
      <c r="I1008" s="12"/>
      <c r="J1008" s="73"/>
      <c r="K1008" s="73"/>
      <c r="L1008" s="73"/>
      <c r="M1008" s="73"/>
      <c r="N1008" s="12"/>
      <c r="O1008" s="12"/>
      <c r="P1008" s="12"/>
      <c r="Q1008" s="12"/>
      <c r="R1008" s="12"/>
      <c r="S1008" s="12"/>
      <c r="T1008" s="12"/>
      <c r="U1008" s="5"/>
      <c r="V1008" s="5"/>
      <c r="W1008" s="5"/>
      <c r="X1008" s="5"/>
      <c r="Y1008" s="5"/>
      <c r="Z1008" s="5"/>
      <c r="AA1008" s="69"/>
      <c r="AB1008" s="69"/>
      <c r="AC1008" s="5"/>
      <c r="AD1008" s="88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</row>
    <row r="1009" spans="1:256" ht="23.1" customHeight="1" x14ac:dyDescent="0.25">
      <c r="A1009" s="5"/>
      <c r="B1009" s="288"/>
      <c r="C1009" s="12"/>
      <c r="D1009" s="12"/>
      <c r="E1009" s="12"/>
      <c r="F1009" s="12"/>
      <c r="G1009" s="12"/>
      <c r="H1009" s="12"/>
      <c r="I1009" s="12"/>
      <c r="J1009" s="73"/>
      <c r="K1009" s="73"/>
      <c r="L1009" s="73"/>
      <c r="M1009" s="73"/>
      <c r="N1009" s="12"/>
      <c r="O1009" s="12"/>
      <c r="P1009" s="12"/>
      <c r="Q1009" s="12"/>
      <c r="R1009" s="12"/>
      <c r="S1009" s="12"/>
      <c r="T1009" s="12"/>
      <c r="U1009" s="5"/>
      <c r="V1009" s="5"/>
      <c r="W1009" s="5"/>
      <c r="X1009" s="5"/>
      <c r="Y1009" s="5"/>
      <c r="Z1009" s="5"/>
      <c r="AA1009" s="69"/>
      <c r="AB1009" s="69"/>
      <c r="AC1009" s="5"/>
      <c r="AD1009" s="88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</row>
    <row r="1010" spans="1:256" ht="23.1" customHeight="1" x14ac:dyDescent="0.25">
      <c r="A1010" s="5"/>
      <c r="B1010" s="288"/>
      <c r="C1010" s="12"/>
      <c r="D1010" s="12"/>
      <c r="E1010" s="12"/>
      <c r="F1010" s="12"/>
      <c r="G1010" s="12"/>
      <c r="H1010" s="12"/>
      <c r="I1010" s="12"/>
      <c r="J1010" s="73"/>
      <c r="K1010" s="73"/>
      <c r="L1010" s="73"/>
      <c r="M1010" s="73"/>
      <c r="N1010" s="12"/>
      <c r="O1010" s="12"/>
      <c r="P1010" s="12"/>
      <c r="Q1010" s="12"/>
      <c r="R1010" s="12"/>
      <c r="S1010" s="12"/>
      <c r="T1010" s="12"/>
      <c r="U1010" s="5"/>
      <c r="V1010" s="5"/>
      <c r="W1010" s="5"/>
      <c r="X1010" s="5"/>
      <c r="Y1010" s="5"/>
      <c r="Z1010" s="5"/>
      <c r="AA1010" s="69"/>
      <c r="AB1010" s="69"/>
      <c r="AC1010" s="5"/>
      <c r="AD1010" s="88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</row>
    <row r="1011" spans="1:256" ht="23.1" customHeight="1" x14ac:dyDescent="0.25">
      <c r="A1011" s="5"/>
      <c r="B1011" s="288"/>
      <c r="C1011" s="12"/>
      <c r="D1011" s="12"/>
      <c r="E1011" s="12"/>
      <c r="F1011" s="12"/>
      <c r="G1011" s="12"/>
      <c r="H1011" s="12"/>
      <c r="I1011" s="12"/>
      <c r="J1011" s="73"/>
      <c r="K1011" s="73"/>
      <c r="L1011" s="73"/>
      <c r="M1011" s="73"/>
      <c r="N1011" s="12"/>
      <c r="O1011" s="12"/>
      <c r="P1011" s="12"/>
      <c r="Q1011" s="12"/>
      <c r="R1011" s="12"/>
      <c r="S1011" s="12"/>
      <c r="T1011" s="12"/>
      <c r="U1011" s="5"/>
      <c r="V1011" s="5"/>
      <c r="W1011" s="5"/>
      <c r="X1011" s="5"/>
      <c r="Y1011" s="5"/>
      <c r="Z1011" s="5"/>
      <c r="AA1011" s="69"/>
      <c r="AB1011" s="69"/>
      <c r="AC1011" s="5"/>
      <c r="AD1011" s="88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</row>
    <row r="1012" spans="1:256" ht="23.1" customHeight="1" x14ac:dyDescent="0.25">
      <c r="A1012" s="5"/>
      <c r="B1012" s="288"/>
      <c r="C1012" s="12"/>
      <c r="D1012" s="12"/>
      <c r="E1012" s="12"/>
      <c r="F1012" s="12"/>
      <c r="G1012" s="12"/>
      <c r="H1012" s="12"/>
      <c r="I1012" s="12"/>
      <c r="J1012" s="73"/>
      <c r="K1012" s="73"/>
      <c r="L1012" s="73"/>
      <c r="M1012" s="73"/>
      <c r="N1012" s="12"/>
      <c r="O1012" s="12"/>
      <c r="P1012" s="12"/>
      <c r="Q1012" s="12"/>
      <c r="R1012" s="12"/>
      <c r="S1012" s="12"/>
      <c r="T1012" s="12"/>
      <c r="U1012" s="5"/>
      <c r="V1012" s="5"/>
      <c r="W1012" s="5"/>
      <c r="X1012" s="5"/>
      <c r="Y1012" s="5"/>
      <c r="Z1012" s="5"/>
      <c r="AA1012" s="69"/>
      <c r="AB1012" s="69"/>
      <c r="AC1012" s="5"/>
      <c r="AD1012" s="88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</row>
    <row r="1013" spans="1:256" ht="23.1" customHeight="1" x14ac:dyDescent="0.25">
      <c r="A1013" s="5"/>
      <c r="B1013" s="288"/>
      <c r="C1013" s="12"/>
      <c r="D1013" s="12"/>
      <c r="E1013" s="12"/>
      <c r="F1013" s="12"/>
      <c r="G1013" s="12"/>
      <c r="H1013" s="12"/>
      <c r="I1013" s="12"/>
      <c r="J1013" s="73"/>
      <c r="K1013" s="73"/>
      <c r="L1013" s="73"/>
      <c r="M1013" s="73"/>
      <c r="N1013" s="12"/>
      <c r="O1013" s="12"/>
      <c r="P1013" s="12"/>
      <c r="Q1013" s="12"/>
      <c r="R1013" s="12"/>
      <c r="S1013" s="12"/>
      <c r="T1013" s="12"/>
      <c r="U1013" s="5"/>
      <c r="V1013" s="5"/>
      <c r="W1013" s="5"/>
      <c r="X1013" s="5"/>
      <c r="Y1013" s="5"/>
      <c r="Z1013" s="5"/>
      <c r="AA1013" s="69"/>
      <c r="AB1013" s="69"/>
      <c r="AC1013" s="5"/>
      <c r="AD1013" s="88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</row>
    <row r="1014" spans="1:256" ht="23.1" customHeight="1" x14ac:dyDescent="0.25">
      <c r="A1014" s="5"/>
      <c r="B1014" s="288"/>
      <c r="C1014" s="12"/>
      <c r="D1014" s="12"/>
      <c r="E1014" s="12"/>
      <c r="F1014" s="12"/>
      <c r="G1014" s="12"/>
      <c r="H1014" s="12"/>
      <c r="I1014" s="12"/>
      <c r="J1014" s="73"/>
      <c r="K1014" s="73"/>
      <c r="L1014" s="73"/>
      <c r="M1014" s="73"/>
      <c r="N1014" s="12"/>
      <c r="O1014" s="12"/>
      <c r="P1014" s="12"/>
      <c r="Q1014" s="12"/>
      <c r="R1014" s="12"/>
      <c r="S1014" s="12"/>
      <c r="T1014" s="12"/>
      <c r="U1014" s="5"/>
      <c r="V1014" s="5"/>
      <c r="W1014" s="5"/>
      <c r="X1014" s="5"/>
      <c r="Y1014" s="5"/>
      <c r="Z1014" s="5"/>
      <c r="AA1014" s="69"/>
      <c r="AB1014" s="69"/>
      <c r="AC1014" s="5"/>
      <c r="AD1014" s="88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</row>
    <row r="1015" spans="1:256" ht="23.1" customHeight="1" x14ac:dyDescent="0.25">
      <c r="A1015" s="5"/>
      <c r="B1015" s="288"/>
      <c r="C1015" s="12"/>
      <c r="D1015" s="12"/>
      <c r="E1015" s="12"/>
      <c r="F1015" s="12"/>
      <c r="G1015" s="12"/>
      <c r="H1015" s="12"/>
      <c r="I1015" s="12"/>
      <c r="J1015" s="73"/>
      <c r="K1015" s="73"/>
      <c r="L1015" s="73"/>
      <c r="M1015" s="73"/>
      <c r="N1015" s="12"/>
      <c r="O1015" s="12"/>
      <c r="P1015" s="12"/>
      <c r="Q1015" s="12"/>
      <c r="R1015" s="12"/>
      <c r="S1015" s="12"/>
      <c r="T1015" s="12"/>
      <c r="U1015" s="5"/>
      <c r="V1015" s="5"/>
      <c r="W1015" s="5"/>
      <c r="X1015" s="5"/>
      <c r="Y1015" s="5"/>
      <c r="Z1015" s="5"/>
      <c r="AA1015" s="69"/>
      <c r="AB1015" s="69"/>
      <c r="AC1015" s="5"/>
      <c r="AD1015" s="88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</row>
    <row r="1016" spans="1:256" ht="23.1" customHeight="1" x14ac:dyDescent="0.25">
      <c r="A1016" s="5"/>
      <c r="B1016" s="288"/>
      <c r="C1016" s="12"/>
      <c r="D1016" s="12"/>
      <c r="E1016" s="12"/>
      <c r="F1016" s="12"/>
      <c r="G1016" s="12"/>
      <c r="H1016" s="12"/>
      <c r="I1016" s="12"/>
      <c r="J1016" s="73"/>
      <c r="K1016" s="73"/>
      <c r="L1016" s="73"/>
      <c r="M1016" s="73"/>
      <c r="N1016" s="12"/>
      <c r="O1016" s="12"/>
      <c r="P1016" s="12"/>
      <c r="Q1016" s="12"/>
      <c r="R1016" s="12"/>
      <c r="S1016" s="12"/>
      <c r="T1016" s="12"/>
      <c r="U1016" s="5"/>
      <c r="V1016" s="5"/>
      <c r="W1016" s="5"/>
      <c r="X1016" s="5"/>
      <c r="Y1016" s="5"/>
      <c r="Z1016" s="5"/>
      <c r="AA1016" s="69"/>
      <c r="AB1016" s="69"/>
      <c r="AC1016" s="5"/>
      <c r="AD1016" s="88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</row>
    <row r="1017" spans="1:256" ht="23.1" customHeight="1" x14ac:dyDescent="0.25">
      <c r="A1017" s="5"/>
      <c r="B1017" s="288"/>
      <c r="C1017" s="12"/>
      <c r="D1017" s="12"/>
      <c r="E1017" s="12"/>
      <c r="F1017" s="12"/>
      <c r="G1017" s="12"/>
      <c r="H1017" s="12"/>
      <c r="I1017" s="12"/>
      <c r="J1017" s="73"/>
      <c r="K1017" s="73"/>
      <c r="L1017" s="73"/>
      <c r="M1017" s="73"/>
      <c r="N1017" s="12"/>
      <c r="O1017" s="12"/>
      <c r="P1017" s="12"/>
      <c r="Q1017" s="12"/>
      <c r="R1017" s="12"/>
      <c r="S1017" s="12"/>
      <c r="T1017" s="12"/>
      <c r="U1017" s="5"/>
      <c r="V1017" s="5"/>
      <c r="W1017" s="5"/>
      <c r="X1017" s="5"/>
      <c r="Y1017" s="5"/>
      <c r="Z1017" s="5"/>
      <c r="AA1017" s="69"/>
      <c r="AB1017" s="69"/>
      <c r="AC1017" s="5"/>
      <c r="AD1017" s="88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</row>
    <row r="1018" spans="1:256" ht="23.1" customHeight="1" x14ac:dyDescent="0.25">
      <c r="A1018" s="5"/>
      <c r="B1018" s="288"/>
      <c r="C1018" s="12"/>
      <c r="D1018" s="12"/>
      <c r="E1018" s="12"/>
      <c r="F1018" s="12"/>
      <c r="G1018" s="12"/>
      <c r="H1018" s="12"/>
      <c r="I1018" s="12"/>
      <c r="J1018" s="73"/>
      <c r="K1018" s="73"/>
      <c r="L1018" s="73"/>
      <c r="M1018" s="73"/>
      <c r="N1018" s="12"/>
      <c r="O1018" s="12"/>
      <c r="P1018" s="12"/>
      <c r="Q1018" s="12"/>
      <c r="R1018" s="12"/>
      <c r="S1018" s="12"/>
      <c r="T1018" s="12"/>
      <c r="U1018" s="5"/>
      <c r="V1018" s="5"/>
      <c r="W1018" s="5"/>
      <c r="X1018" s="5"/>
      <c r="Y1018" s="5"/>
      <c r="Z1018" s="5"/>
      <c r="AA1018" s="69"/>
      <c r="AB1018" s="69"/>
      <c r="AC1018" s="5"/>
      <c r="AD1018" s="88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</row>
    <row r="1019" spans="1:256" ht="23.1" customHeight="1" x14ac:dyDescent="0.25">
      <c r="A1019" s="5"/>
      <c r="B1019" s="288"/>
      <c r="C1019" s="12"/>
      <c r="D1019" s="12"/>
      <c r="E1019" s="12"/>
      <c r="F1019" s="12"/>
      <c r="G1019" s="12"/>
      <c r="H1019" s="12"/>
      <c r="I1019" s="12"/>
      <c r="J1019" s="73"/>
      <c r="K1019" s="73"/>
      <c r="L1019" s="73"/>
      <c r="M1019" s="73"/>
      <c r="N1019" s="12"/>
      <c r="O1019" s="12"/>
      <c r="P1019" s="12"/>
      <c r="Q1019" s="12"/>
      <c r="R1019" s="12"/>
      <c r="S1019" s="12"/>
      <c r="T1019" s="12"/>
      <c r="U1019" s="5"/>
      <c r="V1019" s="5"/>
      <c r="W1019" s="5"/>
      <c r="X1019" s="5"/>
      <c r="Y1019" s="5"/>
      <c r="Z1019" s="5"/>
      <c r="AA1019" s="69"/>
      <c r="AB1019" s="69"/>
      <c r="AC1019" s="5"/>
      <c r="AD1019" s="88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</row>
    <row r="1020" spans="1:256" ht="23.1" customHeight="1" x14ac:dyDescent="0.25">
      <c r="A1020" s="5"/>
      <c r="B1020" s="288"/>
      <c r="C1020" s="12"/>
      <c r="D1020" s="12"/>
      <c r="E1020" s="12"/>
      <c r="F1020" s="12"/>
      <c r="G1020" s="12"/>
      <c r="H1020" s="12"/>
      <c r="I1020" s="12"/>
      <c r="J1020" s="73"/>
      <c r="K1020" s="73"/>
      <c r="L1020" s="73"/>
      <c r="M1020" s="73"/>
      <c r="N1020" s="12"/>
      <c r="O1020" s="12"/>
      <c r="P1020" s="12"/>
      <c r="Q1020" s="12"/>
      <c r="R1020" s="12"/>
      <c r="S1020" s="12"/>
      <c r="T1020" s="12"/>
      <c r="U1020" s="5"/>
      <c r="V1020" s="5"/>
      <c r="W1020" s="5"/>
      <c r="X1020" s="5"/>
      <c r="Y1020" s="5"/>
      <c r="Z1020" s="5"/>
      <c r="AA1020" s="69"/>
      <c r="AB1020" s="69"/>
      <c r="AC1020" s="5"/>
      <c r="AD1020" s="88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</row>
    <row r="1021" spans="1:256" ht="23.1" customHeight="1" x14ac:dyDescent="0.25">
      <c r="A1021" s="5"/>
      <c r="B1021" s="288"/>
      <c r="C1021" s="12"/>
      <c r="D1021" s="12"/>
      <c r="E1021" s="12"/>
      <c r="F1021" s="12"/>
      <c r="G1021" s="12"/>
      <c r="H1021" s="12"/>
      <c r="I1021" s="12"/>
      <c r="J1021" s="73"/>
      <c r="K1021" s="73"/>
      <c r="L1021" s="73"/>
      <c r="M1021" s="73"/>
      <c r="N1021" s="12"/>
      <c r="O1021" s="12"/>
      <c r="P1021" s="12"/>
      <c r="Q1021" s="12"/>
      <c r="R1021" s="12"/>
      <c r="S1021" s="12"/>
      <c r="T1021" s="12"/>
      <c r="U1021" s="5"/>
      <c r="V1021" s="5"/>
      <c r="W1021" s="5"/>
      <c r="X1021" s="5"/>
      <c r="Y1021" s="5"/>
      <c r="Z1021" s="5"/>
      <c r="AA1021" s="69"/>
      <c r="AB1021" s="69"/>
      <c r="AC1021" s="5"/>
      <c r="AD1021" s="88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</row>
    <row r="1022" spans="1:256" ht="23.1" customHeight="1" x14ac:dyDescent="0.25">
      <c r="A1022" s="5"/>
      <c r="B1022" s="288"/>
      <c r="C1022" s="12"/>
      <c r="D1022" s="12"/>
      <c r="E1022" s="12"/>
      <c r="F1022" s="12"/>
      <c r="G1022" s="12"/>
      <c r="H1022" s="12"/>
      <c r="I1022" s="12"/>
      <c r="J1022" s="73"/>
      <c r="K1022" s="73"/>
      <c r="L1022" s="73"/>
      <c r="M1022" s="73"/>
      <c r="N1022" s="12"/>
      <c r="O1022" s="12"/>
      <c r="P1022" s="12"/>
      <c r="Q1022" s="12"/>
      <c r="R1022" s="12"/>
      <c r="S1022" s="12"/>
      <c r="T1022" s="12"/>
      <c r="U1022" s="5"/>
      <c r="V1022" s="5"/>
      <c r="W1022" s="5"/>
      <c r="X1022" s="5"/>
      <c r="Y1022" s="5"/>
      <c r="Z1022" s="5"/>
      <c r="AA1022" s="69"/>
      <c r="AB1022" s="69"/>
      <c r="AC1022" s="5"/>
      <c r="AD1022" s="88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</row>
    <row r="1023" spans="1:256" ht="23.1" customHeight="1" x14ac:dyDescent="0.25">
      <c r="A1023" s="5"/>
      <c r="B1023" s="288"/>
      <c r="C1023" s="12"/>
      <c r="D1023" s="12"/>
      <c r="E1023" s="12"/>
      <c r="F1023" s="12"/>
      <c r="G1023" s="12"/>
      <c r="H1023" s="12"/>
      <c r="I1023" s="12"/>
      <c r="J1023" s="73"/>
      <c r="K1023" s="73"/>
      <c r="L1023" s="73"/>
      <c r="M1023" s="73"/>
      <c r="N1023" s="12"/>
      <c r="O1023" s="12"/>
      <c r="P1023" s="12"/>
      <c r="Q1023" s="12"/>
      <c r="R1023" s="12"/>
      <c r="S1023" s="12"/>
      <c r="T1023" s="12"/>
      <c r="U1023" s="5"/>
      <c r="V1023" s="5"/>
      <c r="W1023" s="5"/>
      <c r="X1023" s="5"/>
      <c r="Y1023" s="5"/>
      <c r="Z1023" s="5"/>
      <c r="AA1023" s="69"/>
      <c r="AB1023" s="69"/>
      <c r="AC1023" s="5"/>
      <c r="AD1023" s="88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</row>
    <row r="1024" spans="1:256" ht="23.1" customHeight="1" x14ac:dyDescent="0.25">
      <c r="A1024" s="5"/>
      <c r="B1024" s="288"/>
      <c r="C1024" s="12"/>
      <c r="D1024" s="12"/>
      <c r="E1024" s="12"/>
      <c r="F1024" s="12"/>
      <c r="G1024" s="12"/>
      <c r="H1024" s="12"/>
      <c r="I1024" s="12"/>
      <c r="J1024" s="73"/>
      <c r="K1024" s="73"/>
      <c r="L1024" s="73"/>
      <c r="M1024" s="73"/>
      <c r="N1024" s="12"/>
      <c r="O1024" s="12"/>
      <c r="P1024" s="12"/>
      <c r="Q1024" s="12"/>
      <c r="R1024" s="12"/>
      <c r="S1024" s="12"/>
      <c r="T1024" s="12"/>
      <c r="U1024" s="5"/>
      <c r="V1024" s="5"/>
      <c r="W1024" s="5"/>
      <c r="X1024" s="5"/>
      <c r="Y1024" s="5"/>
      <c r="Z1024" s="5"/>
      <c r="AA1024" s="69"/>
      <c r="AB1024" s="69"/>
      <c r="AC1024" s="5"/>
      <c r="AD1024" s="88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</row>
    <row r="1025" spans="1:256" ht="23.1" customHeight="1" x14ac:dyDescent="0.25">
      <c r="A1025" s="5"/>
      <c r="B1025" s="288"/>
      <c r="C1025" s="12"/>
      <c r="D1025" s="12"/>
      <c r="E1025" s="12"/>
      <c r="F1025" s="12"/>
      <c r="G1025" s="12"/>
      <c r="H1025" s="12"/>
      <c r="I1025" s="12"/>
      <c r="J1025" s="73"/>
      <c r="K1025" s="73"/>
      <c r="L1025" s="73"/>
      <c r="M1025" s="73"/>
      <c r="N1025" s="12"/>
      <c r="O1025" s="12"/>
      <c r="P1025" s="12"/>
      <c r="Q1025" s="12"/>
      <c r="R1025" s="12"/>
      <c r="S1025" s="12"/>
      <c r="T1025" s="12"/>
      <c r="U1025" s="5"/>
      <c r="V1025" s="5"/>
      <c r="W1025" s="5"/>
      <c r="X1025" s="5"/>
      <c r="Y1025" s="5"/>
      <c r="Z1025" s="5"/>
      <c r="AA1025" s="69"/>
      <c r="AB1025" s="69"/>
      <c r="AC1025" s="5"/>
      <c r="AD1025" s="88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</row>
    <row r="1026" spans="1:256" ht="23.1" customHeight="1" x14ac:dyDescent="0.25">
      <c r="A1026" s="5"/>
      <c r="B1026" s="288"/>
      <c r="C1026" s="12"/>
      <c r="D1026" s="12"/>
      <c r="E1026" s="12"/>
      <c r="F1026" s="12"/>
      <c r="G1026" s="12"/>
      <c r="H1026" s="12"/>
      <c r="I1026" s="12"/>
      <c r="J1026" s="73"/>
      <c r="K1026" s="73"/>
      <c r="L1026" s="73"/>
      <c r="M1026" s="73"/>
      <c r="N1026" s="12"/>
      <c r="O1026" s="12"/>
      <c r="P1026" s="12"/>
      <c r="Q1026" s="12"/>
      <c r="R1026" s="12"/>
      <c r="S1026" s="12"/>
      <c r="T1026" s="12"/>
      <c r="U1026" s="5"/>
      <c r="V1026" s="5"/>
      <c r="W1026" s="5"/>
      <c r="X1026" s="5"/>
      <c r="Y1026" s="5"/>
      <c r="Z1026" s="5"/>
      <c r="AA1026" s="69"/>
      <c r="AB1026" s="69"/>
      <c r="AC1026" s="5"/>
      <c r="AD1026" s="88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</row>
    <row r="1027" spans="1:256" ht="23.1" customHeight="1" x14ac:dyDescent="0.25">
      <c r="A1027" s="5"/>
      <c r="B1027" s="288"/>
      <c r="C1027" s="12"/>
      <c r="D1027" s="12"/>
      <c r="E1027" s="12"/>
      <c r="F1027" s="12"/>
      <c r="G1027" s="12"/>
      <c r="H1027" s="12"/>
      <c r="I1027" s="12"/>
      <c r="J1027" s="73"/>
      <c r="K1027" s="73"/>
      <c r="L1027" s="73"/>
      <c r="M1027" s="73"/>
      <c r="N1027" s="12"/>
      <c r="O1027" s="12"/>
      <c r="P1027" s="12"/>
      <c r="Q1027" s="12"/>
      <c r="R1027" s="12"/>
      <c r="S1027" s="12"/>
      <c r="T1027" s="12"/>
      <c r="U1027" s="5"/>
      <c r="V1027" s="5"/>
      <c r="W1027" s="5"/>
      <c r="X1027" s="5"/>
      <c r="Y1027" s="5"/>
      <c r="Z1027" s="5"/>
      <c r="AA1027" s="69"/>
      <c r="AB1027" s="69"/>
      <c r="AC1027" s="5"/>
      <c r="AD1027" s="88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</row>
    <row r="1028" spans="1:256" ht="23.1" customHeight="1" x14ac:dyDescent="0.25">
      <c r="A1028" s="5"/>
      <c r="B1028" s="288"/>
      <c r="C1028" s="12"/>
      <c r="D1028" s="12"/>
      <c r="E1028" s="12"/>
      <c r="F1028" s="12"/>
      <c r="G1028" s="12"/>
      <c r="H1028" s="12"/>
      <c r="I1028" s="12"/>
      <c r="J1028" s="73"/>
      <c r="K1028" s="73"/>
      <c r="L1028" s="73"/>
      <c r="M1028" s="73"/>
      <c r="N1028" s="12"/>
      <c r="O1028" s="12"/>
      <c r="P1028" s="12"/>
      <c r="Q1028" s="12"/>
      <c r="R1028" s="12"/>
      <c r="S1028" s="12"/>
      <c r="T1028" s="12"/>
      <c r="U1028" s="5"/>
      <c r="V1028" s="5"/>
      <c r="W1028" s="5"/>
      <c r="X1028" s="5"/>
      <c r="Y1028" s="5"/>
      <c r="Z1028" s="5"/>
      <c r="AA1028" s="69"/>
      <c r="AB1028" s="69"/>
      <c r="AC1028" s="5"/>
      <c r="AD1028" s="88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</row>
    <row r="1029" spans="1:256" ht="23.1" customHeight="1" x14ac:dyDescent="0.25">
      <c r="A1029" s="5"/>
      <c r="B1029" s="288"/>
      <c r="C1029" s="12"/>
      <c r="D1029" s="12"/>
      <c r="E1029" s="12"/>
      <c r="F1029" s="12"/>
      <c r="G1029" s="12"/>
      <c r="H1029" s="12"/>
      <c r="I1029" s="12"/>
      <c r="J1029" s="73"/>
      <c r="K1029" s="73"/>
      <c r="L1029" s="73"/>
      <c r="M1029" s="73"/>
      <c r="N1029" s="12"/>
      <c r="O1029" s="12"/>
      <c r="P1029" s="12"/>
      <c r="Q1029" s="12"/>
      <c r="R1029" s="12"/>
      <c r="S1029" s="12"/>
      <c r="T1029" s="12"/>
      <c r="U1029" s="5"/>
      <c r="V1029" s="5"/>
      <c r="W1029" s="5"/>
      <c r="X1029" s="5"/>
      <c r="Y1029" s="5"/>
      <c r="Z1029" s="5"/>
      <c r="AA1029" s="69"/>
      <c r="AB1029" s="69"/>
      <c r="AC1029" s="5"/>
      <c r="AD1029" s="88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</row>
    <row r="1030" spans="1:256" ht="23.1" customHeight="1" x14ac:dyDescent="0.25">
      <c r="A1030" s="5"/>
      <c r="B1030" s="288"/>
      <c r="C1030" s="12"/>
      <c r="D1030" s="12"/>
      <c r="E1030" s="12"/>
      <c r="F1030" s="12"/>
      <c r="G1030" s="12"/>
      <c r="H1030" s="12"/>
      <c r="I1030" s="12"/>
      <c r="J1030" s="73"/>
      <c r="K1030" s="73"/>
      <c r="L1030" s="73"/>
      <c r="M1030" s="73"/>
      <c r="N1030" s="12"/>
      <c r="O1030" s="12"/>
      <c r="P1030" s="12"/>
      <c r="Q1030" s="12"/>
      <c r="R1030" s="12"/>
      <c r="S1030" s="12"/>
      <c r="T1030" s="12"/>
      <c r="U1030" s="5"/>
      <c r="V1030" s="5"/>
      <c r="W1030" s="5"/>
      <c r="X1030" s="5"/>
      <c r="Y1030" s="5"/>
      <c r="Z1030" s="5"/>
      <c r="AA1030" s="69"/>
      <c r="AB1030" s="69"/>
      <c r="AC1030" s="5"/>
      <c r="AD1030" s="88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</row>
    <row r="1031" spans="1:256" ht="23.1" customHeight="1" x14ac:dyDescent="0.25">
      <c r="A1031" s="5"/>
      <c r="B1031" s="288"/>
      <c r="C1031" s="12"/>
      <c r="D1031" s="12"/>
      <c r="E1031" s="12"/>
      <c r="F1031" s="12"/>
      <c r="G1031" s="12"/>
      <c r="H1031" s="12"/>
      <c r="I1031" s="12"/>
      <c r="J1031" s="73"/>
      <c r="K1031" s="73"/>
      <c r="L1031" s="73"/>
      <c r="M1031" s="73"/>
      <c r="N1031" s="12"/>
      <c r="O1031" s="12"/>
      <c r="P1031" s="12"/>
      <c r="Q1031" s="12"/>
      <c r="R1031" s="12"/>
      <c r="S1031" s="12"/>
      <c r="T1031" s="12"/>
      <c r="U1031" s="5"/>
      <c r="V1031" s="5"/>
      <c r="W1031" s="5"/>
      <c r="X1031" s="5"/>
      <c r="Y1031" s="5"/>
      <c r="Z1031" s="5"/>
      <c r="AA1031" s="69"/>
      <c r="AB1031" s="69"/>
      <c r="AC1031" s="5"/>
      <c r="AD1031" s="88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</row>
    <row r="1032" spans="1:256" ht="23.1" customHeight="1" x14ac:dyDescent="0.25">
      <c r="A1032" s="5"/>
      <c r="B1032" s="288"/>
      <c r="C1032" s="12"/>
      <c r="D1032" s="12"/>
      <c r="E1032" s="12"/>
      <c r="F1032" s="12"/>
      <c r="G1032" s="12"/>
      <c r="H1032" s="12"/>
      <c r="I1032" s="12"/>
      <c r="J1032" s="73"/>
      <c r="K1032" s="73"/>
      <c r="L1032" s="73"/>
      <c r="M1032" s="73"/>
      <c r="N1032" s="12"/>
      <c r="O1032" s="12"/>
      <c r="P1032" s="12"/>
      <c r="Q1032" s="12"/>
      <c r="R1032" s="12"/>
      <c r="S1032" s="12"/>
      <c r="T1032" s="12"/>
      <c r="U1032" s="5"/>
      <c r="V1032" s="5"/>
      <c r="W1032" s="5"/>
      <c r="X1032" s="5"/>
      <c r="Y1032" s="5"/>
      <c r="Z1032" s="5"/>
      <c r="AA1032" s="69"/>
      <c r="AB1032" s="69"/>
      <c r="AC1032" s="5"/>
      <c r="AD1032" s="88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</row>
    <row r="1033" spans="1:256" ht="23.1" customHeight="1" x14ac:dyDescent="0.25">
      <c r="A1033" s="5"/>
      <c r="B1033" s="288"/>
      <c r="C1033" s="12"/>
      <c r="D1033" s="12"/>
      <c r="E1033" s="12"/>
      <c r="F1033" s="12"/>
      <c r="G1033" s="12"/>
      <c r="H1033" s="12"/>
      <c r="I1033" s="12"/>
      <c r="J1033" s="73"/>
      <c r="K1033" s="73"/>
      <c r="L1033" s="73"/>
      <c r="M1033" s="73"/>
      <c r="N1033" s="12"/>
      <c r="O1033" s="12"/>
      <c r="P1033" s="12"/>
      <c r="Q1033" s="12"/>
      <c r="R1033" s="12"/>
      <c r="S1033" s="12"/>
      <c r="T1033" s="12"/>
      <c r="U1033" s="5"/>
      <c r="V1033" s="5"/>
      <c r="W1033" s="5"/>
      <c r="X1033" s="5"/>
      <c r="Y1033" s="5"/>
      <c r="Z1033" s="5"/>
      <c r="AA1033" s="69"/>
      <c r="AB1033" s="69"/>
      <c r="AC1033" s="5"/>
      <c r="AD1033" s="88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  <c r="IR1033" s="5"/>
      <c r="IS1033" s="5"/>
      <c r="IT1033" s="5"/>
      <c r="IU1033" s="5"/>
      <c r="IV1033" s="5"/>
    </row>
    <row r="1034" spans="1:256" ht="23.1" customHeight="1" x14ac:dyDescent="0.25">
      <c r="A1034" s="5"/>
      <c r="B1034" s="288"/>
      <c r="C1034" s="12"/>
      <c r="D1034" s="12"/>
      <c r="E1034" s="12"/>
      <c r="F1034" s="12"/>
      <c r="G1034" s="12"/>
      <c r="H1034" s="12"/>
      <c r="I1034" s="12"/>
      <c r="J1034" s="73"/>
      <c r="K1034" s="73"/>
      <c r="L1034" s="73"/>
      <c r="M1034" s="73"/>
      <c r="N1034" s="12"/>
      <c r="O1034" s="12"/>
      <c r="P1034" s="12"/>
      <c r="Q1034" s="12"/>
      <c r="R1034" s="12"/>
      <c r="S1034" s="12"/>
      <c r="T1034" s="12"/>
      <c r="U1034" s="5"/>
      <c r="V1034" s="5"/>
      <c r="W1034" s="5"/>
      <c r="X1034" s="5"/>
      <c r="Y1034" s="5"/>
      <c r="Z1034" s="5"/>
      <c r="AA1034" s="69"/>
      <c r="AB1034" s="69"/>
      <c r="AC1034" s="5"/>
      <c r="AD1034" s="88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  <c r="IQ1034" s="5"/>
      <c r="IR1034" s="5"/>
      <c r="IS1034" s="5"/>
      <c r="IT1034" s="5"/>
      <c r="IU1034" s="5"/>
      <c r="IV1034" s="5"/>
    </row>
    <row r="1035" spans="1:256" ht="23.1" customHeight="1" x14ac:dyDescent="0.25">
      <c r="A1035" s="5"/>
      <c r="B1035" s="288"/>
      <c r="C1035" s="12"/>
      <c r="D1035" s="12"/>
      <c r="E1035" s="12"/>
      <c r="F1035" s="12"/>
      <c r="G1035" s="12"/>
      <c r="H1035" s="12"/>
      <c r="I1035" s="12"/>
      <c r="J1035" s="73"/>
      <c r="K1035" s="73"/>
      <c r="L1035" s="73"/>
      <c r="M1035" s="73"/>
      <c r="N1035" s="12"/>
      <c r="O1035" s="12"/>
      <c r="P1035" s="12"/>
      <c r="Q1035" s="12"/>
      <c r="R1035" s="12"/>
      <c r="S1035" s="12"/>
      <c r="T1035" s="12"/>
      <c r="U1035" s="5"/>
      <c r="V1035" s="5"/>
      <c r="W1035" s="5"/>
      <c r="X1035" s="5"/>
      <c r="Y1035" s="5"/>
      <c r="Z1035" s="5"/>
      <c r="AA1035" s="69"/>
      <c r="AB1035" s="69"/>
      <c r="AC1035" s="5"/>
      <c r="AD1035" s="88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  <c r="IQ1035" s="5"/>
      <c r="IR1035" s="5"/>
      <c r="IS1035" s="5"/>
      <c r="IT1035" s="5"/>
      <c r="IU1035" s="5"/>
      <c r="IV1035" s="5"/>
    </row>
    <row r="1036" spans="1:256" ht="23.1" customHeight="1" x14ac:dyDescent="0.25">
      <c r="A1036" s="5"/>
      <c r="B1036" s="288"/>
      <c r="C1036" s="12"/>
      <c r="D1036" s="12"/>
      <c r="E1036" s="12"/>
      <c r="F1036" s="12"/>
      <c r="G1036" s="12"/>
      <c r="H1036" s="12"/>
      <c r="I1036" s="12"/>
      <c r="J1036" s="73"/>
      <c r="K1036" s="73"/>
      <c r="L1036" s="73"/>
      <c r="M1036" s="73"/>
      <c r="N1036" s="12"/>
      <c r="O1036" s="12"/>
      <c r="P1036" s="12"/>
      <c r="Q1036" s="12"/>
      <c r="R1036" s="12"/>
      <c r="S1036" s="12"/>
      <c r="T1036" s="12"/>
      <c r="U1036" s="5"/>
      <c r="V1036" s="5"/>
      <c r="W1036" s="5"/>
      <c r="X1036" s="5"/>
      <c r="Y1036" s="5"/>
      <c r="Z1036" s="5"/>
      <c r="AA1036" s="69"/>
      <c r="AB1036" s="69"/>
      <c r="AC1036" s="5"/>
      <c r="AD1036" s="88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  <c r="IQ1036" s="5"/>
      <c r="IR1036" s="5"/>
      <c r="IS1036" s="5"/>
      <c r="IT1036" s="5"/>
      <c r="IU1036" s="5"/>
      <c r="IV1036" s="5"/>
    </row>
    <row r="1037" spans="1:256" ht="23.1" customHeight="1" x14ac:dyDescent="0.25">
      <c r="A1037" s="5"/>
      <c r="B1037" s="288"/>
      <c r="C1037" s="12"/>
      <c r="D1037" s="12"/>
      <c r="E1037" s="12"/>
      <c r="F1037" s="12"/>
      <c r="G1037" s="12"/>
      <c r="H1037" s="12"/>
      <c r="I1037" s="12"/>
      <c r="J1037" s="73"/>
      <c r="K1037" s="73"/>
      <c r="L1037" s="73"/>
      <c r="M1037" s="73"/>
      <c r="N1037" s="12"/>
      <c r="O1037" s="12"/>
      <c r="P1037" s="12"/>
      <c r="Q1037" s="12"/>
      <c r="R1037" s="12"/>
      <c r="S1037" s="12"/>
      <c r="T1037" s="12"/>
      <c r="U1037" s="5"/>
      <c r="V1037" s="5"/>
      <c r="W1037" s="5"/>
      <c r="X1037" s="5"/>
      <c r="Y1037" s="5"/>
      <c r="Z1037" s="5"/>
      <c r="AA1037" s="69"/>
      <c r="AB1037" s="69"/>
      <c r="AC1037" s="5"/>
      <c r="AD1037" s="88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  <c r="IQ1037" s="5"/>
      <c r="IR1037" s="5"/>
      <c r="IS1037" s="5"/>
      <c r="IT1037" s="5"/>
      <c r="IU1037" s="5"/>
      <c r="IV1037" s="5"/>
    </row>
    <row r="1038" spans="1:256" ht="23.1" customHeight="1" x14ac:dyDescent="0.25">
      <c r="A1038" s="5"/>
      <c r="B1038" s="288"/>
      <c r="C1038" s="12"/>
      <c r="D1038" s="12"/>
      <c r="E1038" s="12"/>
      <c r="F1038" s="12"/>
      <c r="G1038" s="12"/>
      <c r="H1038" s="12"/>
      <c r="I1038" s="12"/>
      <c r="J1038" s="73"/>
      <c r="K1038" s="73"/>
      <c r="L1038" s="73"/>
      <c r="M1038" s="73"/>
      <c r="N1038" s="12"/>
      <c r="O1038" s="12"/>
      <c r="P1038" s="12"/>
      <c r="Q1038" s="12"/>
      <c r="R1038" s="12"/>
      <c r="S1038" s="12"/>
      <c r="T1038" s="12"/>
      <c r="U1038" s="5"/>
      <c r="V1038" s="5"/>
      <c r="W1038" s="5"/>
      <c r="X1038" s="5"/>
      <c r="Y1038" s="5"/>
      <c r="Z1038" s="5"/>
      <c r="AA1038" s="69"/>
      <c r="AB1038" s="69"/>
      <c r="AC1038" s="5"/>
      <c r="AD1038" s="88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  <c r="IQ1038" s="5"/>
      <c r="IR1038" s="5"/>
      <c r="IS1038" s="5"/>
      <c r="IT1038" s="5"/>
      <c r="IU1038" s="5"/>
      <c r="IV1038" s="5"/>
    </row>
    <row r="1039" spans="1:256" ht="23.1" customHeight="1" x14ac:dyDescent="0.25">
      <c r="A1039" s="5"/>
      <c r="B1039" s="288"/>
      <c r="C1039" s="12"/>
      <c r="D1039" s="12"/>
      <c r="E1039" s="12"/>
      <c r="F1039" s="12"/>
      <c r="G1039" s="12"/>
      <c r="H1039" s="12"/>
      <c r="I1039" s="12"/>
      <c r="J1039" s="73"/>
      <c r="K1039" s="73"/>
      <c r="L1039" s="73"/>
      <c r="M1039" s="73"/>
      <c r="N1039" s="12"/>
      <c r="O1039" s="12"/>
      <c r="P1039" s="12"/>
      <c r="Q1039" s="12"/>
      <c r="R1039" s="12"/>
      <c r="S1039" s="12"/>
      <c r="T1039" s="12"/>
      <c r="U1039" s="5"/>
      <c r="V1039" s="5"/>
      <c r="W1039" s="5"/>
      <c r="X1039" s="5"/>
      <c r="Y1039" s="5"/>
      <c r="Z1039" s="5"/>
      <c r="AA1039" s="69"/>
      <c r="AB1039" s="69"/>
      <c r="AC1039" s="5"/>
      <c r="AD1039" s="88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  <c r="IQ1039" s="5"/>
      <c r="IR1039" s="5"/>
      <c r="IS1039" s="5"/>
      <c r="IT1039" s="5"/>
      <c r="IU1039" s="5"/>
      <c r="IV1039" s="5"/>
    </row>
    <row r="1040" spans="1:256" ht="23.1" customHeight="1" x14ac:dyDescent="0.25">
      <c r="A1040" s="5"/>
      <c r="B1040" s="288"/>
      <c r="C1040" s="12"/>
      <c r="D1040" s="12"/>
      <c r="E1040" s="12"/>
      <c r="F1040" s="12"/>
      <c r="G1040" s="12"/>
      <c r="H1040" s="12"/>
      <c r="I1040" s="12"/>
      <c r="J1040" s="73"/>
      <c r="K1040" s="73"/>
      <c r="L1040" s="73"/>
      <c r="M1040" s="73"/>
      <c r="N1040" s="12"/>
      <c r="O1040" s="12"/>
      <c r="P1040" s="12"/>
      <c r="Q1040" s="12"/>
      <c r="R1040" s="12"/>
      <c r="S1040" s="12"/>
      <c r="T1040" s="12"/>
      <c r="U1040" s="5"/>
      <c r="V1040" s="5"/>
      <c r="W1040" s="5"/>
      <c r="X1040" s="5"/>
      <c r="Y1040" s="5"/>
      <c r="Z1040" s="5"/>
      <c r="AA1040" s="69"/>
      <c r="AB1040" s="69"/>
      <c r="AC1040" s="5"/>
      <c r="AD1040" s="88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  <c r="IQ1040" s="5"/>
      <c r="IR1040" s="5"/>
      <c r="IS1040" s="5"/>
      <c r="IT1040" s="5"/>
      <c r="IU1040" s="5"/>
      <c r="IV1040" s="5"/>
    </row>
    <row r="1041" spans="1:256" ht="23.1" customHeight="1" x14ac:dyDescent="0.25">
      <c r="A1041" s="5"/>
      <c r="B1041" s="288"/>
      <c r="C1041" s="12"/>
      <c r="D1041" s="12"/>
      <c r="E1041" s="12"/>
      <c r="F1041" s="12"/>
      <c r="G1041" s="12"/>
      <c r="H1041" s="12"/>
      <c r="I1041" s="12"/>
      <c r="J1041" s="73"/>
      <c r="K1041" s="73"/>
      <c r="L1041" s="73"/>
      <c r="M1041" s="73"/>
      <c r="N1041" s="12"/>
      <c r="O1041" s="12"/>
      <c r="P1041" s="12"/>
      <c r="Q1041" s="12"/>
      <c r="R1041" s="12"/>
      <c r="S1041" s="12"/>
      <c r="T1041" s="12"/>
      <c r="U1041" s="5"/>
      <c r="V1041" s="5"/>
      <c r="W1041" s="5"/>
      <c r="X1041" s="5"/>
      <c r="Y1041" s="5"/>
      <c r="Z1041" s="5"/>
      <c r="AA1041" s="69"/>
      <c r="AB1041" s="69"/>
      <c r="AC1041" s="5"/>
      <c r="AD1041" s="88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  <c r="IQ1041" s="5"/>
      <c r="IR1041" s="5"/>
      <c r="IS1041" s="5"/>
      <c r="IT1041" s="5"/>
      <c r="IU1041" s="5"/>
      <c r="IV1041" s="5"/>
    </row>
    <row r="1042" spans="1:256" ht="23.1" customHeight="1" x14ac:dyDescent="0.25">
      <c r="A1042" s="5"/>
      <c r="B1042" s="288"/>
      <c r="C1042" s="12"/>
      <c r="D1042" s="12"/>
      <c r="E1042" s="12"/>
      <c r="F1042" s="12"/>
      <c r="G1042" s="12"/>
      <c r="H1042" s="12"/>
      <c r="I1042" s="12"/>
      <c r="J1042" s="73"/>
      <c r="K1042" s="73"/>
      <c r="L1042" s="73"/>
      <c r="M1042" s="73"/>
      <c r="N1042" s="12"/>
      <c r="O1042" s="12"/>
      <c r="P1042" s="12"/>
      <c r="Q1042" s="12"/>
      <c r="R1042" s="12"/>
      <c r="S1042" s="12"/>
      <c r="T1042" s="12"/>
      <c r="U1042" s="5"/>
      <c r="V1042" s="5"/>
      <c r="W1042" s="5"/>
      <c r="X1042" s="5"/>
      <c r="Y1042" s="5"/>
      <c r="Z1042" s="5"/>
      <c r="AA1042" s="69"/>
      <c r="AB1042" s="69"/>
      <c r="AC1042" s="5"/>
      <c r="AD1042" s="88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  <c r="IQ1042" s="5"/>
      <c r="IR1042" s="5"/>
      <c r="IS1042" s="5"/>
      <c r="IT1042" s="5"/>
      <c r="IU1042" s="5"/>
      <c r="IV1042" s="5"/>
    </row>
    <row r="1043" spans="1:256" ht="23.1" customHeight="1" x14ac:dyDescent="0.25">
      <c r="A1043" s="5"/>
      <c r="B1043" s="288"/>
      <c r="C1043" s="12"/>
      <c r="D1043" s="12"/>
      <c r="E1043" s="12"/>
      <c r="F1043" s="12"/>
      <c r="G1043" s="12"/>
      <c r="H1043" s="12"/>
      <c r="I1043" s="12"/>
      <c r="J1043" s="73"/>
      <c r="K1043" s="73"/>
      <c r="L1043" s="73"/>
      <c r="M1043" s="73"/>
      <c r="N1043" s="12"/>
      <c r="O1043" s="12"/>
      <c r="P1043" s="12"/>
      <c r="Q1043" s="12"/>
      <c r="R1043" s="12"/>
      <c r="S1043" s="12"/>
      <c r="T1043" s="12"/>
      <c r="U1043" s="5"/>
      <c r="V1043" s="5"/>
      <c r="W1043" s="5"/>
      <c r="X1043" s="5"/>
      <c r="Y1043" s="5"/>
      <c r="Z1043" s="5"/>
      <c r="AA1043" s="69"/>
      <c r="AB1043" s="69"/>
      <c r="AC1043" s="5"/>
      <c r="AD1043" s="88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  <c r="IQ1043" s="5"/>
      <c r="IR1043" s="5"/>
      <c r="IS1043" s="5"/>
      <c r="IT1043" s="5"/>
      <c r="IU1043" s="5"/>
      <c r="IV1043" s="5"/>
    </row>
    <row r="1044" spans="1:256" ht="23.1" customHeight="1" x14ac:dyDescent="0.25">
      <c r="A1044" s="5"/>
      <c r="B1044" s="288"/>
      <c r="C1044" s="12"/>
      <c r="D1044" s="12"/>
      <c r="E1044" s="12"/>
      <c r="F1044" s="12"/>
      <c r="G1044" s="12"/>
      <c r="H1044" s="12"/>
      <c r="I1044" s="12"/>
      <c r="J1044" s="73"/>
      <c r="K1044" s="73"/>
      <c r="L1044" s="73"/>
      <c r="M1044" s="73"/>
      <c r="N1044" s="12"/>
      <c r="O1044" s="12"/>
      <c r="P1044" s="12"/>
      <c r="Q1044" s="12"/>
      <c r="R1044" s="12"/>
      <c r="S1044" s="12"/>
      <c r="T1044" s="12"/>
      <c r="U1044" s="5"/>
      <c r="V1044" s="5"/>
      <c r="W1044" s="5"/>
      <c r="X1044" s="5"/>
      <c r="Y1044" s="5"/>
      <c r="Z1044" s="5"/>
      <c r="AA1044" s="69"/>
      <c r="AB1044" s="69"/>
      <c r="AC1044" s="5"/>
      <c r="AD1044" s="88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  <c r="IQ1044" s="5"/>
      <c r="IR1044" s="5"/>
      <c r="IS1044" s="5"/>
      <c r="IT1044" s="5"/>
      <c r="IU1044" s="5"/>
      <c r="IV1044" s="5"/>
    </row>
    <row r="1045" spans="1:256" ht="23.1" customHeight="1" x14ac:dyDescent="0.25">
      <c r="A1045" s="5"/>
      <c r="B1045" s="288"/>
      <c r="C1045" s="12"/>
      <c r="D1045" s="12"/>
      <c r="E1045" s="12"/>
      <c r="F1045" s="12"/>
      <c r="G1045" s="12"/>
      <c r="H1045" s="12"/>
      <c r="I1045" s="12"/>
      <c r="J1045" s="73"/>
      <c r="K1045" s="73"/>
      <c r="L1045" s="73"/>
      <c r="M1045" s="73"/>
      <c r="N1045" s="12"/>
      <c r="O1045" s="12"/>
      <c r="P1045" s="12"/>
      <c r="Q1045" s="12"/>
      <c r="R1045" s="12"/>
      <c r="S1045" s="12"/>
      <c r="T1045" s="12"/>
      <c r="U1045" s="5"/>
      <c r="V1045" s="5"/>
      <c r="W1045" s="5"/>
      <c r="X1045" s="5"/>
      <c r="Y1045" s="5"/>
      <c r="Z1045" s="5"/>
      <c r="AA1045" s="69"/>
      <c r="AB1045" s="69"/>
      <c r="AC1045" s="5"/>
      <c r="AD1045" s="88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  <c r="IQ1045" s="5"/>
      <c r="IR1045" s="5"/>
      <c r="IS1045" s="5"/>
      <c r="IT1045" s="5"/>
      <c r="IU1045" s="5"/>
      <c r="IV1045" s="5"/>
    </row>
    <row r="1046" spans="1:256" ht="23.1" customHeight="1" x14ac:dyDescent="0.25">
      <c r="A1046" s="5"/>
      <c r="B1046" s="288"/>
      <c r="C1046" s="12"/>
      <c r="D1046" s="12"/>
      <c r="E1046" s="12"/>
      <c r="F1046" s="12"/>
      <c r="G1046" s="12"/>
      <c r="H1046" s="12"/>
      <c r="I1046" s="12"/>
      <c r="J1046" s="73"/>
      <c r="K1046" s="73"/>
      <c r="L1046" s="73"/>
      <c r="M1046" s="73"/>
      <c r="N1046" s="12"/>
      <c r="O1046" s="12"/>
      <c r="P1046" s="12"/>
      <c r="Q1046" s="12"/>
      <c r="R1046" s="12"/>
      <c r="S1046" s="12"/>
      <c r="T1046" s="12"/>
      <c r="U1046" s="5"/>
      <c r="V1046" s="5"/>
      <c r="W1046" s="5"/>
      <c r="X1046" s="5"/>
      <c r="Y1046" s="5"/>
      <c r="Z1046" s="5"/>
      <c r="AA1046" s="69"/>
      <c r="AB1046" s="69"/>
      <c r="AC1046" s="5"/>
      <c r="AD1046" s="88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  <c r="IQ1046" s="5"/>
      <c r="IR1046" s="5"/>
      <c r="IS1046" s="5"/>
      <c r="IT1046" s="5"/>
      <c r="IU1046" s="5"/>
      <c r="IV1046" s="5"/>
    </row>
    <row r="1047" spans="1:256" ht="23.1" customHeight="1" x14ac:dyDescent="0.25">
      <c r="A1047" s="5"/>
      <c r="B1047" s="288"/>
      <c r="C1047" s="12"/>
      <c r="D1047" s="12"/>
      <c r="E1047" s="12"/>
      <c r="F1047" s="12"/>
      <c r="G1047" s="12"/>
      <c r="H1047" s="12"/>
      <c r="I1047" s="12"/>
      <c r="J1047" s="73"/>
      <c r="K1047" s="73"/>
      <c r="L1047" s="73"/>
      <c r="M1047" s="73"/>
      <c r="N1047" s="12"/>
      <c r="O1047" s="12"/>
      <c r="P1047" s="12"/>
      <c r="Q1047" s="12"/>
      <c r="R1047" s="12"/>
      <c r="S1047" s="12"/>
      <c r="T1047" s="12"/>
      <c r="U1047" s="5"/>
      <c r="V1047" s="5"/>
      <c r="W1047" s="5"/>
      <c r="X1047" s="5"/>
      <c r="Y1047" s="5"/>
      <c r="Z1047" s="5"/>
      <c r="AA1047" s="69"/>
      <c r="AB1047" s="69"/>
      <c r="AC1047" s="5"/>
      <c r="AD1047" s="88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  <c r="IQ1047" s="5"/>
      <c r="IR1047" s="5"/>
      <c r="IS1047" s="5"/>
      <c r="IT1047" s="5"/>
      <c r="IU1047" s="5"/>
      <c r="IV1047" s="5"/>
    </row>
    <row r="1048" spans="1:256" ht="23.1" customHeight="1" x14ac:dyDescent="0.25">
      <c r="A1048" s="5"/>
      <c r="B1048" s="288"/>
      <c r="C1048" s="12"/>
      <c r="D1048" s="12"/>
      <c r="E1048" s="12"/>
      <c r="F1048" s="12"/>
      <c r="G1048" s="12"/>
      <c r="H1048" s="12"/>
      <c r="I1048" s="12"/>
      <c r="J1048" s="73"/>
      <c r="K1048" s="73"/>
      <c r="L1048" s="73"/>
      <c r="M1048" s="73"/>
      <c r="N1048" s="12"/>
      <c r="O1048" s="12"/>
      <c r="P1048" s="12"/>
      <c r="Q1048" s="12"/>
      <c r="R1048" s="12"/>
      <c r="S1048" s="12"/>
      <c r="T1048" s="12"/>
      <c r="U1048" s="5"/>
      <c r="V1048" s="5"/>
      <c r="W1048" s="5"/>
      <c r="X1048" s="5"/>
      <c r="Y1048" s="5"/>
      <c r="Z1048" s="5"/>
      <c r="AA1048" s="69"/>
      <c r="AB1048" s="69"/>
      <c r="AC1048" s="5"/>
      <c r="AD1048" s="88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  <c r="IQ1048" s="5"/>
      <c r="IR1048" s="5"/>
      <c r="IS1048" s="5"/>
      <c r="IT1048" s="5"/>
      <c r="IU1048" s="5"/>
      <c r="IV1048" s="5"/>
    </row>
    <row r="1049" spans="1:256" ht="23.1" customHeight="1" x14ac:dyDescent="0.25">
      <c r="A1049" s="5"/>
      <c r="B1049" s="288"/>
      <c r="C1049" s="12"/>
      <c r="D1049" s="12"/>
      <c r="E1049" s="12"/>
      <c r="F1049" s="12"/>
      <c r="G1049" s="12"/>
      <c r="H1049" s="12"/>
      <c r="I1049" s="12"/>
      <c r="J1049" s="73"/>
      <c r="K1049" s="73"/>
      <c r="L1049" s="73"/>
      <c r="M1049" s="73"/>
      <c r="N1049" s="12"/>
      <c r="O1049" s="12"/>
      <c r="P1049" s="12"/>
      <c r="Q1049" s="12"/>
      <c r="R1049" s="12"/>
      <c r="S1049" s="12"/>
      <c r="T1049" s="12"/>
      <c r="U1049" s="5"/>
      <c r="V1049" s="5"/>
      <c r="W1049" s="5"/>
      <c r="X1049" s="5"/>
      <c r="Y1049" s="5"/>
      <c r="Z1049" s="5"/>
      <c r="AA1049" s="69"/>
      <c r="AB1049" s="69"/>
      <c r="AC1049" s="5"/>
      <c r="AD1049" s="88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  <c r="IQ1049" s="5"/>
      <c r="IR1049" s="5"/>
      <c r="IS1049" s="5"/>
      <c r="IT1049" s="5"/>
      <c r="IU1049" s="5"/>
      <c r="IV1049" s="5"/>
    </row>
    <row r="1050" spans="1:256" ht="23.1" customHeight="1" x14ac:dyDescent="0.25">
      <c r="A1050" s="5"/>
      <c r="B1050" s="288"/>
      <c r="C1050" s="12"/>
      <c r="D1050" s="12"/>
      <c r="E1050" s="12"/>
      <c r="F1050" s="12"/>
      <c r="G1050" s="12"/>
      <c r="H1050" s="12"/>
      <c r="I1050" s="12"/>
      <c r="J1050" s="73"/>
      <c r="K1050" s="73"/>
      <c r="L1050" s="73"/>
      <c r="M1050" s="73"/>
      <c r="N1050" s="12"/>
      <c r="O1050" s="12"/>
      <c r="P1050" s="12"/>
      <c r="Q1050" s="12"/>
      <c r="R1050" s="12"/>
      <c r="S1050" s="12"/>
      <c r="T1050" s="12"/>
      <c r="U1050" s="5"/>
      <c r="V1050" s="5"/>
      <c r="W1050" s="5"/>
      <c r="X1050" s="5"/>
      <c r="Y1050" s="5"/>
      <c r="Z1050" s="5"/>
      <c r="AA1050" s="69"/>
      <c r="AB1050" s="69"/>
      <c r="AC1050" s="5"/>
      <c r="AD1050" s="88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  <c r="IQ1050" s="5"/>
      <c r="IR1050" s="5"/>
      <c r="IS1050" s="5"/>
      <c r="IT1050" s="5"/>
      <c r="IU1050" s="5"/>
      <c r="IV1050" s="5"/>
    </row>
    <row r="1051" spans="1:256" ht="23.1" customHeight="1" x14ac:dyDescent="0.25">
      <c r="A1051" s="5"/>
      <c r="B1051" s="288"/>
      <c r="C1051" s="12"/>
      <c r="D1051" s="12"/>
      <c r="E1051" s="12"/>
      <c r="F1051" s="12"/>
      <c r="G1051" s="12"/>
      <c r="H1051" s="12"/>
      <c r="I1051" s="12"/>
      <c r="J1051" s="73"/>
      <c r="K1051" s="73"/>
      <c r="L1051" s="73"/>
      <c r="M1051" s="73"/>
      <c r="N1051" s="12"/>
      <c r="O1051" s="12"/>
      <c r="P1051" s="12"/>
      <c r="Q1051" s="12"/>
      <c r="R1051" s="12"/>
      <c r="S1051" s="12"/>
      <c r="T1051" s="12"/>
      <c r="U1051" s="5"/>
      <c r="V1051" s="5"/>
      <c r="W1051" s="5"/>
      <c r="X1051" s="5"/>
      <c r="Y1051" s="5"/>
      <c r="Z1051" s="5"/>
      <c r="AA1051" s="69"/>
      <c r="AB1051" s="69"/>
      <c r="AC1051" s="5"/>
      <c r="AD1051" s="88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  <c r="IQ1051" s="5"/>
      <c r="IR1051" s="5"/>
      <c r="IS1051" s="5"/>
      <c r="IT1051" s="5"/>
      <c r="IU1051" s="5"/>
      <c r="IV1051" s="5"/>
    </row>
    <row r="1052" spans="1:256" ht="23.1" customHeight="1" x14ac:dyDescent="0.25">
      <c r="A1052" s="5"/>
      <c r="B1052" s="288"/>
      <c r="C1052" s="12"/>
      <c r="D1052" s="12"/>
      <c r="E1052" s="12"/>
      <c r="F1052" s="12"/>
      <c r="G1052" s="12"/>
      <c r="H1052" s="12"/>
      <c r="I1052" s="12"/>
      <c r="J1052" s="73"/>
      <c r="K1052" s="73"/>
      <c r="L1052" s="73"/>
      <c r="M1052" s="73"/>
      <c r="N1052" s="12"/>
      <c r="O1052" s="12"/>
      <c r="P1052" s="12"/>
      <c r="Q1052" s="12"/>
      <c r="R1052" s="12"/>
      <c r="S1052" s="12"/>
      <c r="T1052" s="12"/>
      <c r="U1052" s="5"/>
      <c r="V1052" s="5"/>
      <c r="W1052" s="5"/>
      <c r="X1052" s="5"/>
      <c r="Y1052" s="5"/>
      <c r="Z1052" s="5"/>
      <c r="AA1052" s="69"/>
      <c r="AB1052" s="69"/>
      <c r="AC1052" s="5"/>
      <c r="AD1052" s="88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  <c r="IQ1052" s="5"/>
      <c r="IR1052" s="5"/>
      <c r="IS1052" s="5"/>
      <c r="IT1052" s="5"/>
      <c r="IU1052" s="5"/>
      <c r="IV1052" s="5"/>
    </row>
    <row r="1053" spans="1:256" ht="23.1" customHeight="1" x14ac:dyDescent="0.25">
      <c r="A1053" s="5"/>
      <c r="B1053" s="288"/>
      <c r="C1053" s="12"/>
      <c r="D1053" s="12"/>
      <c r="E1053" s="12"/>
      <c r="F1053" s="12"/>
      <c r="G1053" s="12"/>
      <c r="H1053" s="12"/>
      <c r="I1053" s="12"/>
      <c r="J1053" s="73"/>
      <c r="K1053" s="73"/>
      <c r="L1053" s="73"/>
      <c r="M1053" s="73"/>
      <c r="N1053" s="12"/>
      <c r="O1053" s="12"/>
      <c r="P1053" s="12"/>
      <c r="Q1053" s="12"/>
      <c r="R1053" s="12"/>
      <c r="S1053" s="12"/>
      <c r="T1053" s="12"/>
      <c r="U1053" s="5"/>
      <c r="V1053" s="5"/>
      <c r="W1053" s="5"/>
      <c r="X1053" s="5"/>
      <c r="Y1053" s="5"/>
      <c r="Z1053" s="5"/>
      <c r="AA1053" s="69"/>
      <c r="AB1053" s="69"/>
      <c r="AC1053" s="5"/>
      <c r="AD1053" s="88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  <c r="IQ1053" s="5"/>
      <c r="IR1053" s="5"/>
      <c r="IS1053" s="5"/>
      <c r="IT1053" s="5"/>
      <c r="IU1053" s="5"/>
      <c r="IV1053" s="5"/>
    </row>
    <row r="1054" spans="1:256" ht="23.1" customHeight="1" x14ac:dyDescent="0.25">
      <c r="A1054" s="5"/>
      <c r="B1054" s="288"/>
      <c r="C1054" s="12"/>
      <c r="D1054" s="12"/>
      <c r="E1054" s="12"/>
      <c r="F1054" s="12"/>
      <c r="G1054" s="12"/>
      <c r="H1054" s="12"/>
      <c r="I1054" s="12"/>
      <c r="J1054" s="73"/>
      <c r="K1054" s="73"/>
      <c r="L1054" s="73"/>
      <c r="M1054" s="73"/>
      <c r="N1054" s="12"/>
      <c r="O1054" s="12"/>
      <c r="P1054" s="12"/>
      <c r="Q1054" s="12"/>
      <c r="R1054" s="12"/>
      <c r="S1054" s="12"/>
      <c r="T1054" s="12"/>
      <c r="U1054" s="5"/>
      <c r="V1054" s="5"/>
      <c r="W1054" s="5"/>
      <c r="X1054" s="5"/>
      <c r="Y1054" s="5"/>
      <c r="Z1054" s="5"/>
      <c r="AA1054" s="69"/>
      <c r="AB1054" s="69"/>
      <c r="AC1054" s="5"/>
      <c r="AD1054" s="88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  <c r="IQ1054" s="5"/>
      <c r="IR1054" s="5"/>
      <c r="IS1054" s="5"/>
      <c r="IT1054" s="5"/>
      <c r="IU1054" s="5"/>
      <c r="IV1054" s="5"/>
    </row>
    <row r="1055" spans="1:256" ht="23.1" customHeight="1" x14ac:dyDescent="0.25">
      <c r="A1055" s="5"/>
      <c r="B1055" s="288"/>
      <c r="C1055" s="12"/>
      <c r="D1055" s="12"/>
      <c r="E1055" s="12"/>
      <c r="F1055" s="12"/>
      <c r="G1055" s="12"/>
      <c r="H1055" s="12"/>
      <c r="I1055" s="12"/>
      <c r="J1055" s="73"/>
      <c r="K1055" s="73"/>
      <c r="L1055" s="73"/>
      <c r="M1055" s="73"/>
      <c r="N1055" s="12"/>
      <c r="O1055" s="12"/>
      <c r="P1055" s="12"/>
      <c r="Q1055" s="12"/>
      <c r="R1055" s="12"/>
      <c r="S1055" s="12"/>
      <c r="T1055" s="12"/>
      <c r="U1055" s="5"/>
      <c r="V1055" s="5"/>
      <c r="W1055" s="5"/>
      <c r="X1055" s="5"/>
      <c r="Y1055" s="5"/>
      <c r="Z1055" s="5"/>
      <c r="AA1055" s="69"/>
      <c r="AB1055" s="69"/>
      <c r="AC1055" s="5"/>
      <c r="AD1055" s="88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  <c r="IQ1055" s="5"/>
      <c r="IR1055" s="5"/>
      <c r="IS1055" s="5"/>
      <c r="IT1055" s="5"/>
      <c r="IU1055" s="5"/>
      <c r="IV1055" s="5"/>
    </row>
    <row r="1056" spans="1:256" ht="23.1" customHeight="1" x14ac:dyDescent="0.25">
      <c r="A1056" s="5"/>
      <c r="B1056" s="288"/>
      <c r="C1056" s="12"/>
      <c r="D1056" s="12"/>
      <c r="E1056" s="12"/>
      <c r="F1056" s="12"/>
      <c r="G1056" s="12"/>
      <c r="H1056" s="12"/>
      <c r="I1056" s="12"/>
      <c r="J1056" s="73"/>
      <c r="K1056" s="73"/>
      <c r="L1056" s="73"/>
      <c r="M1056" s="73"/>
      <c r="N1056" s="12"/>
      <c r="O1056" s="12"/>
      <c r="P1056" s="12"/>
      <c r="Q1056" s="12"/>
      <c r="R1056" s="12"/>
      <c r="S1056" s="12"/>
      <c r="T1056" s="12"/>
      <c r="U1056" s="5"/>
      <c r="V1056" s="5"/>
      <c r="W1056" s="5"/>
      <c r="X1056" s="5"/>
      <c r="Y1056" s="5"/>
      <c r="Z1056" s="5"/>
      <c r="AA1056" s="69"/>
      <c r="AB1056" s="69"/>
      <c r="AC1056" s="5"/>
      <c r="AD1056" s="88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  <c r="IQ1056" s="5"/>
      <c r="IR1056" s="5"/>
      <c r="IS1056" s="5"/>
      <c r="IT1056" s="5"/>
      <c r="IU1056" s="5"/>
      <c r="IV1056" s="5"/>
    </row>
    <row r="1057" spans="1:256" ht="23.1" customHeight="1" x14ac:dyDescent="0.25">
      <c r="A1057" s="5"/>
      <c r="B1057" s="288"/>
      <c r="C1057" s="12"/>
      <c r="D1057" s="12"/>
      <c r="E1057" s="12"/>
      <c r="F1057" s="12"/>
      <c r="G1057" s="12"/>
      <c r="H1057" s="12"/>
      <c r="I1057" s="12"/>
      <c r="J1057" s="73"/>
      <c r="K1057" s="73"/>
      <c r="L1057" s="73"/>
      <c r="M1057" s="73"/>
      <c r="N1057" s="12"/>
      <c r="O1057" s="12"/>
      <c r="P1057" s="12"/>
      <c r="Q1057" s="12"/>
      <c r="R1057" s="12"/>
      <c r="S1057" s="12"/>
      <c r="T1057" s="12"/>
      <c r="U1057" s="5"/>
      <c r="V1057" s="5"/>
      <c r="W1057" s="5"/>
      <c r="X1057" s="5"/>
      <c r="Y1057" s="5"/>
      <c r="Z1057" s="5"/>
      <c r="AA1057" s="69"/>
      <c r="AB1057" s="69"/>
      <c r="AC1057" s="5"/>
      <c r="AD1057" s="88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  <c r="IQ1057" s="5"/>
      <c r="IR1057" s="5"/>
      <c r="IS1057" s="5"/>
      <c r="IT1057" s="5"/>
      <c r="IU1057" s="5"/>
      <c r="IV1057" s="5"/>
    </row>
    <row r="1058" spans="1:256" ht="23.1" customHeight="1" x14ac:dyDescent="0.25">
      <c r="A1058" s="5"/>
      <c r="B1058" s="288"/>
      <c r="C1058" s="12"/>
      <c r="D1058" s="12"/>
      <c r="E1058" s="12"/>
      <c r="F1058" s="12"/>
      <c r="G1058" s="12"/>
      <c r="H1058" s="12"/>
      <c r="I1058" s="12"/>
      <c r="J1058" s="73"/>
      <c r="K1058" s="73"/>
      <c r="L1058" s="73"/>
      <c r="M1058" s="73"/>
      <c r="N1058" s="12"/>
      <c r="O1058" s="12"/>
      <c r="P1058" s="12"/>
      <c r="Q1058" s="12"/>
      <c r="R1058" s="12"/>
      <c r="S1058" s="12"/>
      <c r="T1058" s="12"/>
      <c r="U1058" s="5"/>
      <c r="V1058" s="5"/>
      <c r="W1058" s="5"/>
      <c r="X1058" s="5"/>
      <c r="Y1058" s="5"/>
      <c r="Z1058" s="5"/>
      <c r="AA1058" s="69"/>
      <c r="AB1058" s="69"/>
      <c r="AC1058" s="5"/>
      <c r="AD1058" s="88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  <c r="IQ1058" s="5"/>
      <c r="IR1058" s="5"/>
      <c r="IS1058" s="5"/>
      <c r="IT1058" s="5"/>
      <c r="IU1058" s="5"/>
      <c r="IV1058" s="5"/>
    </row>
    <row r="1059" spans="1:256" ht="23.1" customHeight="1" x14ac:dyDescent="0.25">
      <c r="A1059" s="5"/>
      <c r="B1059" s="288"/>
      <c r="C1059" s="12"/>
      <c r="D1059" s="12"/>
      <c r="E1059" s="12"/>
      <c r="F1059" s="12"/>
      <c r="G1059" s="12"/>
      <c r="H1059" s="12"/>
      <c r="I1059" s="12"/>
      <c r="J1059" s="73"/>
      <c r="K1059" s="73"/>
      <c r="L1059" s="73"/>
      <c r="M1059" s="73"/>
      <c r="N1059" s="12"/>
      <c r="O1059" s="12"/>
      <c r="P1059" s="12"/>
      <c r="Q1059" s="12"/>
      <c r="R1059" s="12"/>
      <c r="S1059" s="12"/>
      <c r="T1059" s="12"/>
      <c r="U1059" s="5"/>
      <c r="V1059" s="5"/>
      <c r="W1059" s="5"/>
      <c r="X1059" s="5"/>
      <c r="Y1059" s="5"/>
      <c r="Z1059" s="5"/>
      <c r="AA1059" s="69"/>
      <c r="AB1059" s="69"/>
      <c r="AC1059" s="5"/>
      <c r="AD1059" s="88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  <c r="IQ1059" s="5"/>
      <c r="IR1059" s="5"/>
      <c r="IS1059" s="5"/>
      <c r="IT1059" s="5"/>
      <c r="IU1059" s="5"/>
      <c r="IV1059" s="5"/>
    </row>
    <row r="1060" spans="1:256" ht="23.1" customHeight="1" x14ac:dyDescent="0.25">
      <c r="A1060" s="5"/>
      <c r="B1060" s="288"/>
      <c r="C1060" s="12"/>
      <c r="D1060" s="12"/>
      <c r="E1060" s="12"/>
      <c r="F1060" s="12"/>
      <c r="G1060" s="12"/>
      <c r="H1060" s="12"/>
      <c r="I1060" s="12"/>
      <c r="J1060" s="73"/>
      <c r="K1060" s="73"/>
      <c r="L1060" s="73"/>
      <c r="M1060" s="73"/>
      <c r="N1060" s="12"/>
      <c r="O1060" s="12"/>
      <c r="P1060" s="12"/>
      <c r="Q1060" s="12"/>
      <c r="R1060" s="12"/>
      <c r="S1060" s="12"/>
      <c r="T1060" s="12"/>
      <c r="U1060" s="5"/>
      <c r="V1060" s="5"/>
      <c r="W1060" s="5"/>
      <c r="X1060" s="5"/>
      <c r="Y1060" s="5"/>
      <c r="Z1060" s="5"/>
      <c r="AA1060" s="69"/>
      <c r="AB1060" s="69"/>
      <c r="AC1060" s="5"/>
      <c r="AD1060" s="88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5"/>
      <c r="IQ1060" s="5"/>
      <c r="IR1060" s="5"/>
      <c r="IS1060" s="5"/>
      <c r="IT1060" s="5"/>
      <c r="IU1060" s="5"/>
      <c r="IV1060" s="5"/>
    </row>
    <row r="1061" spans="1:256" ht="23.1" customHeight="1" x14ac:dyDescent="0.25">
      <c r="A1061" s="5"/>
      <c r="B1061" s="288"/>
      <c r="C1061" s="12"/>
      <c r="D1061" s="12"/>
      <c r="E1061" s="12"/>
      <c r="F1061" s="12"/>
      <c r="G1061" s="12"/>
      <c r="H1061" s="12"/>
      <c r="I1061" s="12"/>
      <c r="J1061" s="73"/>
      <c r="K1061" s="73"/>
      <c r="L1061" s="73"/>
      <c r="M1061" s="73"/>
      <c r="N1061" s="12"/>
      <c r="O1061" s="12"/>
      <c r="P1061" s="12"/>
      <c r="Q1061" s="12"/>
      <c r="R1061" s="12"/>
      <c r="S1061" s="12"/>
      <c r="T1061" s="12"/>
      <c r="U1061" s="5"/>
      <c r="V1061" s="5"/>
      <c r="W1061" s="5"/>
      <c r="X1061" s="5"/>
      <c r="Y1061" s="5"/>
      <c r="Z1061" s="5"/>
      <c r="AA1061" s="69"/>
      <c r="AB1061" s="69"/>
      <c r="AC1061" s="5"/>
      <c r="AD1061" s="88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  <c r="IQ1061" s="5"/>
      <c r="IR1061" s="5"/>
      <c r="IS1061" s="5"/>
      <c r="IT1061" s="5"/>
      <c r="IU1061" s="5"/>
      <c r="IV1061" s="5"/>
    </row>
    <row r="1062" spans="1:256" ht="23.1" customHeight="1" x14ac:dyDescent="0.25">
      <c r="A1062" s="5"/>
      <c r="B1062" s="288"/>
      <c r="C1062" s="12"/>
      <c r="D1062" s="12"/>
      <c r="E1062" s="12"/>
      <c r="F1062" s="12"/>
      <c r="G1062" s="12"/>
      <c r="H1062" s="12"/>
      <c r="I1062" s="12"/>
      <c r="J1062" s="73"/>
      <c r="K1062" s="73"/>
      <c r="L1062" s="73"/>
      <c r="M1062" s="73"/>
      <c r="N1062" s="12"/>
      <c r="O1062" s="12"/>
      <c r="P1062" s="12"/>
      <c r="Q1062" s="12"/>
      <c r="R1062" s="12"/>
      <c r="S1062" s="12"/>
      <c r="T1062" s="12"/>
      <c r="U1062" s="5"/>
      <c r="V1062" s="5"/>
      <c r="W1062" s="5"/>
      <c r="X1062" s="5"/>
      <c r="Y1062" s="5"/>
      <c r="Z1062" s="5"/>
      <c r="AA1062" s="69"/>
      <c r="AB1062" s="69"/>
      <c r="AC1062" s="5"/>
      <c r="AD1062" s="88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5"/>
      <c r="IQ1062" s="5"/>
      <c r="IR1062" s="5"/>
      <c r="IS1062" s="5"/>
      <c r="IT1062" s="5"/>
      <c r="IU1062" s="5"/>
      <c r="IV1062" s="5"/>
    </row>
    <row r="1063" spans="1:256" ht="23.1" customHeight="1" x14ac:dyDescent="0.25">
      <c r="A1063" s="5"/>
      <c r="B1063" s="288"/>
      <c r="C1063" s="12"/>
      <c r="D1063" s="12"/>
      <c r="E1063" s="12"/>
      <c r="F1063" s="12"/>
      <c r="G1063" s="12"/>
      <c r="H1063" s="12"/>
      <c r="I1063" s="12"/>
      <c r="J1063" s="73"/>
      <c r="K1063" s="73"/>
      <c r="L1063" s="73"/>
      <c r="M1063" s="73"/>
      <c r="N1063" s="12"/>
      <c r="O1063" s="12"/>
      <c r="P1063" s="12"/>
      <c r="Q1063" s="12"/>
      <c r="R1063" s="12"/>
      <c r="S1063" s="12"/>
      <c r="T1063" s="12"/>
      <c r="U1063" s="5"/>
      <c r="V1063" s="5"/>
      <c r="W1063" s="5"/>
      <c r="X1063" s="5"/>
      <c r="Y1063" s="5"/>
      <c r="Z1063" s="5"/>
      <c r="AA1063" s="69"/>
      <c r="AB1063" s="69"/>
      <c r="AC1063" s="5"/>
      <c r="AD1063" s="88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  <c r="IQ1063" s="5"/>
      <c r="IR1063" s="5"/>
      <c r="IS1063" s="5"/>
      <c r="IT1063" s="5"/>
      <c r="IU1063" s="5"/>
      <c r="IV1063" s="5"/>
    </row>
    <row r="1064" spans="1:256" ht="23.1" customHeight="1" x14ac:dyDescent="0.25">
      <c r="A1064" s="5"/>
      <c r="B1064" s="288"/>
      <c r="C1064" s="12"/>
      <c r="D1064" s="12"/>
      <c r="E1064" s="12"/>
      <c r="F1064" s="12"/>
      <c r="G1064" s="12"/>
      <c r="H1064" s="12"/>
      <c r="I1064" s="12"/>
      <c r="J1064" s="73"/>
      <c r="K1064" s="73"/>
      <c r="L1064" s="73"/>
      <c r="M1064" s="73"/>
      <c r="N1064" s="12"/>
      <c r="O1064" s="12"/>
      <c r="P1064" s="12"/>
      <c r="Q1064" s="12"/>
      <c r="R1064" s="12"/>
      <c r="S1064" s="12"/>
      <c r="T1064" s="12"/>
      <c r="U1064" s="5"/>
      <c r="V1064" s="5"/>
      <c r="W1064" s="5"/>
      <c r="X1064" s="5"/>
      <c r="Y1064" s="5"/>
      <c r="Z1064" s="5"/>
      <c r="AA1064" s="69"/>
      <c r="AB1064" s="69"/>
      <c r="AC1064" s="5"/>
      <c r="AD1064" s="88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  <c r="IQ1064" s="5"/>
      <c r="IR1064" s="5"/>
      <c r="IS1064" s="5"/>
      <c r="IT1064" s="5"/>
      <c r="IU1064" s="5"/>
      <c r="IV1064" s="5"/>
    </row>
    <row r="1065" spans="1:256" ht="23.1" customHeight="1" x14ac:dyDescent="0.25">
      <c r="A1065" s="5"/>
      <c r="B1065" s="288"/>
      <c r="C1065" s="12"/>
      <c r="D1065" s="12"/>
      <c r="E1065" s="12"/>
      <c r="F1065" s="12"/>
      <c r="G1065" s="12"/>
      <c r="H1065" s="12"/>
      <c r="I1065" s="12"/>
      <c r="J1065" s="73"/>
      <c r="K1065" s="73"/>
      <c r="L1065" s="73"/>
      <c r="M1065" s="73"/>
      <c r="N1065" s="12"/>
      <c r="O1065" s="12"/>
      <c r="P1065" s="12"/>
      <c r="Q1065" s="12"/>
      <c r="R1065" s="12"/>
      <c r="S1065" s="12"/>
      <c r="T1065" s="12"/>
      <c r="U1065" s="5"/>
      <c r="V1065" s="5"/>
      <c r="W1065" s="5"/>
      <c r="X1065" s="5"/>
      <c r="Y1065" s="5"/>
      <c r="Z1065" s="5"/>
      <c r="AA1065" s="69"/>
      <c r="AB1065" s="69"/>
      <c r="AC1065" s="5"/>
      <c r="AD1065" s="88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  <c r="IQ1065" s="5"/>
      <c r="IR1065" s="5"/>
      <c r="IS1065" s="5"/>
      <c r="IT1065" s="5"/>
      <c r="IU1065" s="5"/>
      <c r="IV1065" s="5"/>
    </row>
    <row r="1066" spans="1:256" ht="23.1" customHeight="1" x14ac:dyDescent="0.25">
      <c r="A1066" s="5"/>
      <c r="B1066" s="288"/>
      <c r="C1066" s="12"/>
      <c r="D1066" s="12"/>
      <c r="E1066" s="12"/>
      <c r="F1066" s="12"/>
      <c r="G1066" s="12"/>
      <c r="H1066" s="12"/>
      <c r="I1066" s="12"/>
      <c r="J1066" s="73"/>
      <c r="K1066" s="73"/>
      <c r="L1066" s="73"/>
      <c r="M1066" s="73"/>
      <c r="N1066" s="12"/>
      <c r="O1066" s="12"/>
      <c r="P1066" s="12"/>
      <c r="Q1066" s="12"/>
      <c r="R1066" s="12"/>
      <c r="S1066" s="12"/>
      <c r="T1066" s="12"/>
      <c r="U1066" s="5"/>
      <c r="V1066" s="5"/>
      <c r="W1066" s="5"/>
      <c r="X1066" s="5"/>
      <c r="Y1066" s="5"/>
      <c r="Z1066" s="5"/>
      <c r="AA1066" s="69"/>
      <c r="AB1066" s="69"/>
      <c r="AC1066" s="5"/>
      <c r="AD1066" s="88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5"/>
      <c r="IQ1066" s="5"/>
      <c r="IR1066" s="5"/>
      <c r="IS1066" s="5"/>
      <c r="IT1066" s="5"/>
      <c r="IU1066" s="5"/>
      <c r="IV1066" s="5"/>
    </row>
    <row r="1067" spans="1:256" ht="23.1" customHeight="1" x14ac:dyDescent="0.25">
      <c r="A1067" s="5"/>
      <c r="B1067" s="288"/>
      <c r="C1067" s="12"/>
      <c r="D1067" s="12"/>
      <c r="E1067" s="12"/>
      <c r="F1067" s="12"/>
      <c r="G1067" s="12"/>
      <c r="H1067" s="12"/>
      <c r="I1067" s="12"/>
      <c r="J1067" s="73"/>
      <c r="K1067" s="73"/>
      <c r="L1067" s="73"/>
      <c r="M1067" s="73"/>
      <c r="N1067" s="12"/>
      <c r="O1067" s="12"/>
      <c r="P1067" s="12"/>
      <c r="Q1067" s="12"/>
      <c r="R1067" s="12"/>
      <c r="S1067" s="12"/>
      <c r="T1067" s="12"/>
      <c r="U1067" s="5"/>
      <c r="V1067" s="5"/>
      <c r="W1067" s="5"/>
      <c r="X1067" s="5"/>
      <c r="Y1067" s="5"/>
      <c r="Z1067" s="5"/>
      <c r="AA1067" s="69"/>
      <c r="AB1067" s="69"/>
      <c r="AC1067" s="5"/>
      <c r="AD1067" s="88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  <c r="IQ1067" s="5"/>
      <c r="IR1067" s="5"/>
      <c r="IS1067" s="5"/>
      <c r="IT1067" s="5"/>
      <c r="IU1067" s="5"/>
      <c r="IV1067" s="5"/>
    </row>
    <row r="1068" spans="1:256" ht="23.1" customHeight="1" x14ac:dyDescent="0.25">
      <c r="A1068" s="5"/>
      <c r="B1068" s="288"/>
      <c r="C1068" s="12"/>
      <c r="D1068" s="12"/>
      <c r="E1068" s="12"/>
      <c r="F1068" s="12"/>
      <c r="G1068" s="12"/>
      <c r="H1068" s="12"/>
      <c r="I1068" s="12"/>
      <c r="J1068" s="73"/>
      <c r="K1068" s="73"/>
      <c r="L1068" s="73"/>
      <c r="M1068" s="73"/>
      <c r="N1068" s="12"/>
      <c r="O1068" s="12"/>
      <c r="P1068" s="12"/>
      <c r="Q1068" s="12"/>
      <c r="R1068" s="12"/>
      <c r="S1068" s="12"/>
      <c r="T1068" s="12"/>
      <c r="U1068" s="5"/>
      <c r="V1068" s="5"/>
      <c r="W1068" s="5"/>
      <c r="X1068" s="5"/>
      <c r="Y1068" s="5"/>
      <c r="Z1068" s="5"/>
      <c r="AA1068" s="69"/>
      <c r="AB1068" s="69"/>
      <c r="AC1068" s="5"/>
      <c r="AD1068" s="88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  <c r="IE1068" s="5"/>
      <c r="IF1068" s="5"/>
      <c r="IG1068" s="5"/>
      <c r="IH1068" s="5"/>
      <c r="II1068" s="5"/>
      <c r="IJ1068" s="5"/>
      <c r="IK1068" s="5"/>
      <c r="IL1068" s="5"/>
      <c r="IM1068" s="5"/>
      <c r="IN1068" s="5"/>
      <c r="IO1068" s="5"/>
      <c r="IP1068" s="5"/>
      <c r="IQ1068" s="5"/>
      <c r="IR1068" s="5"/>
      <c r="IS1068" s="5"/>
      <c r="IT1068" s="5"/>
      <c r="IU1068" s="5"/>
      <c r="IV1068" s="5"/>
    </row>
    <row r="1069" spans="1:256" ht="23.1" customHeight="1" x14ac:dyDescent="0.25">
      <c r="A1069" s="5"/>
      <c r="B1069" s="288"/>
      <c r="C1069" s="12"/>
      <c r="D1069" s="12"/>
      <c r="E1069" s="12"/>
      <c r="F1069" s="12"/>
      <c r="G1069" s="12"/>
      <c r="H1069" s="12"/>
      <c r="I1069" s="12"/>
      <c r="J1069" s="73"/>
      <c r="K1069" s="73"/>
      <c r="L1069" s="73"/>
      <c r="M1069" s="73"/>
      <c r="N1069" s="12"/>
      <c r="O1069" s="12"/>
      <c r="P1069" s="12"/>
      <c r="Q1069" s="12"/>
      <c r="R1069" s="12"/>
      <c r="S1069" s="12"/>
      <c r="T1069" s="12"/>
      <c r="U1069" s="5"/>
      <c r="V1069" s="5"/>
      <c r="W1069" s="5"/>
      <c r="X1069" s="5"/>
      <c r="Y1069" s="5"/>
      <c r="Z1069" s="5"/>
      <c r="AA1069" s="69"/>
      <c r="AB1069" s="69"/>
      <c r="AC1069" s="5"/>
      <c r="AD1069" s="88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5"/>
      <c r="II1069" s="5"/>
      <c r="IJ1069" s="5"/>
      <c r="IK1069" s="5"/>
      <c r="IL1069" s="5"/>
      <c r="IM1069" s="5"/>
      <c r="IN1069" s="5"/>
      <c r="IO1069" s="5"/>
      <c r="IP1069" s="5"/>
      <c r="IQ1069" s="5"/>
      <c r="IR1069" s="5"/>
      <c r="IS1069" s="5"/>
      <c r="IT1069" s="5"/>
      <c r="IU1069" s="5"/>
      <c r="IV1069" s="5"/>
    </row>
    <row r="1070" spans="1:256" ht="23.1" customHeight="1" x14ac:dyDescent="0.25">
      <c r="A1070" s="5"/>
      <c r="B1070" s="288"/>
      <c r="C1070" s="12"/>
      <c r="D1070" s="12"/>
      <c r="E1070" s="12"/>
      <c r="F1070" s="12"/>
      <c r="G1070" s="12"/>
      <c r="H1070" s="12"/>
      <c r="I1070" s="12"/>
      <c r="J1070" s="73"/>
      <c r="K1070" s="73"/>
      <c r="L1070" s="73"/>
      <c r="M1070" s="73"/>
      <c r="N1070" s="12"/>
      <c r="O1070" s="12"/>
      <c r="P1070" s="12"/>
      <c r="Q1070" s="12"/>
      <c r="R1070" s="12"/>
      <c r="S1070" s="12"/>
      <c r="T1070" s="12"/>
      <c r="U1070" s="5"/>
      <c r="V1070" s="5"/>
      <c r="W1070" s="5"/>
      <c r="X1070" s="5"/>
      <c r="Y1070" s="5"/>
      <c r="Z1070" s="5"/>
      <c r="AA1070" s="69"/>
      <c r="AB1070" s="69"/>
      <c r="AC1070" s="5"/>
      <c r="AD1070" s="88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  <c r="IE1070" s="5"/>
      <c r="IF1070" s="5"/>
      <c r="IG1070" s="5"/>
      <c r="IH1070" s="5"/>
      <c r="II1070" s="5"/>
      <c r="IJ1070" s="5"/>
      <c r="IK1070" s="5"/>
      <c r="IL1070" s="5"/>
      <c r="IM1070" s="5"/>
      <c r="IN1070" s="5"/>
      <c r="IO1070" s="5"/>
      <c r="IP1070" s="5"/>
      <c r="IQ1070" s="5"/>
      <c r="IR1070" s="5"/>
      <c r="IS1070" s="5"/>
      <c r="IT1070" s="5"/>
      <c r="IU1070" s="5"/>
      <c r="IV1070" s="5"/>
    </row>
    <row r="1071" spans="1:256" ht="23.1" customHeight="1" x14ac:dyDescent="0.25">
      <c r="A1071" s="5"/>
      <c r="B1071" s="288"/>
      <c r="C1071" s="12"/>
      <c r="D1071" s="12"/>
      <c r="E1071" s="12"/>
      <c r="F1071" s="12"/>
      <c r="G1071" s="12"/>
      <c r="H1071" s="12"/>
      <c r="I1071" s="12"/>
      <c r="J1071" s="73"/>
      <c r="K1071" s="73"/>
      <c r="L1071" s="73"/>
      <c r="M1071" s="73"/>
      <c r="N1071" s="12"/>
      <c r="O1071" s="12"/>
      <c r="P1071" s="12"/>
      <c r="Q1071" s="12"/>
      <c r="R1071" s="12"/>
      <c r="S1071" s="12"/>
      <c r="T1071" s="12"/>
      <c r="U1071" s="5"/>
      <c r="V1071" s="5"/>
      <c r="W1071" s="5"/>
      <c r="X1071" s="5"/>
      <c r="Y1071" s="5"/>
      <c r="Z1071" s="5"/>
      <c r="AA1071" s="69"/>
      <c r="AB1071" s="69"/>
      <c r="AC1071" s="5"/>
      <c r="AD1071" s="88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  <c r="GO1071" s="5"/>
      <c r="GP1071" s="5"/>
      <c r="GQ1071" s="5"/>
      <c r="GR1071" s="5"/>
      <c r="GS1071" s="5"/>
      <c r="GT1071" s="5"/>
      <c r="GU1071" s="5"/>
      <c r="GV1071" s="5"/>
      <c r="GW1071" s="5"/>
      <c r="GX1071" s="5"/>
      <c r="GY1071" s="5"/>
      <c r="GZ1071" s="5"/>
      <c r="HA1071" s="5"/>
      <c r="HB1071" s="5"/>
      <c r="HC1071" s="5"/>
      <c r="HD1071" s="5"/>
      <c r="HE1071" s="5"/>
      <c r="HF1071" s="5"/>
      <c r="HG1071" s="5"/>
      <c r="HH1071" s="5"/>
      <c r="HI1071" s="5"/>
      <c r="HJ1071" s="5"/>
      <c r="HK1071" s="5"/>
      <c r="HL1071" s="5"/>
      <c r="HM1071" s="5"/>
      <c r="HN1071" s="5"/>
      <c r="HO1071" s="5"/>
      <c r="HP1071" s="5"/>
      <c r="HQ1071" s="5"/>
      <c r="HR1071" s="5"/>
      <c r="HS1071" s="5"/>
      <c r="HT1071" s="5"/>
      <c r="HU1071" s="5"/>
      <c r="HV1071" s="5"/>
      <c r="HW1071" s="5"/>
      <c r="HX1071" s="5"/>
      <c r="HY1071" s="5"/>
      <c r="HZ1071" s="5"/>
      <c r="IA1071" s="5"/>
      <c r="IB1071" s="5"/>
      <c r="IC1071" s="5"/>
      <c r="ID1071" s="5"/>
      <c r="IE1071" s="5"/>
      <c r="IF1071" s="5"/>
      <c r="IG1071" s="5"/>
      <c r="IH1071" s="5"/>
      <c r="II1071" s="5"/>
      <c r="IJ1071" s="5"/>
      <c r="IK1071" s="5"/>
      <c r="IL1071" s="5"/>
      <c r="IM1071" s="5"/>
      <c r="IN1071" s="5"/>
      <c r="IO1071" s="5"/>
      <c r="IP1071" s="5"/>
      <c r="IQ1071" s="5"/>
      <c r="IR1071" s="5"/>
      <c r="IS1071" s="5"/>
      <c r="IT1071" s="5"/>
      <c r="IU1071" s="5"/>
      <c r="IV1071" s="5"/>
    </row>
    <row r="1072" spans="1:256" ht="23.1" customHeight="1" x14ac:dyDescent="0.25">
      <c r="A1072" s="5"/>
      <c r="B1072" s="288"/>
      <c r="C1072" s="12"/>
      <c r="D1072" s="12"/>
      <c r="E1072" s="12"/>
      <c r="F1072" s="12"/>
      <c r="G1072" s="12"/>
      <c r="H1072" s="12"/>
      <c r="I1072" s="12"/>
      <c r="J1072" s="73"/>
      <c r="K1072" s="73"/>
      <c r="L1072" s="73"/>
      <c r="M1072" s="73"/>
      <c r="N1072" s="12"/>
      <c r="O1072" s="12"/>
      <c r="P1072" s="12"/>
      <c r="Q1072" s="12"/>
      <c r="R1072" s="12"/>
      <c r="S1072" s="12"/>
      <c r="T1072" s="12"/>
      <c r="U1072" s="5"/>
      <c r="V1072" s="5"/>
      <c r="W1072" s="5"/>
      <c r="X1072" s="5"/>
      <c r="Y1072" s="5"/>
      <c r="Z1072" s="5"/>
      <c r="AA1072" s="69"/>
      <c r="AB1072" s="69"/>
      <c r="AC1072" s="5"/>
      <c r="AD1072" s="88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5"/>
      <c r="HO1072" s="5"/>
      <c r="HP1072" s="5"/>
      <c r="HQ1072" s="5"/>
      <c r="HR1072" s="5"/>
      <c r="HS1072" s="5"/>
      <c r="HT1072" s="5"/>
      <c r="HU1072" s="5"/>
      <c r="HV1072" s="5"/>
      <c r="HW1072" s="5"/>
      <c r="HX1072" s="5"/>
      <c r="HY1072" s="5"/>
      <c r="HZ1072" s="5"/>
      <c r="IA1072" s="5"/>
      <c r="IB1072" s="5"/>
      <c r="IC1072" s="5"/>
      <c r="ID1072" s="5"/>
      <c r="IE1072" s="5"/>
      <c r="IF1072" s="5"/>
      <c r="IG1072" s="5"/>
      <c r="IH1072" s="5"/>
      <c r="II1072" s="5"/>
      <c r="IJ1072" s="5"/>
      <c r="IK1072" s="5"/>
      <c r="IL1072" s="5"/>
      <c r="IM1072" s="5"/>
      <c r="IN1072" s="5"/>
      <c r="IO1072" s="5"/>
      <c r="IP1072" s="5"/>
      <c r="IQ1072" s="5"/>
      <c r="IR1072" s="5"/>
      <c r="IS1072" s="5"/>
      <c r="IT1072" s="5"/>
      <c r="IU1072" s="5"/>
      <c r="IV1072" s="5"/>
    </row>
    <row r="1073" spans="1:256" ht="23.1" customHeight="1" x14ac:dyDescent="0.25">
      <c r="A1073" s="5"/>
      <c r="B1073" s="288"/>
      <c r="C1073" s="12"/>
      <c r="D1073" s="12"/>
      <c r="E1073" s="12"/>
      <c r="F1073" s="12"/>
      <c r="G1073" s="12"/>
      <c r="H1073" s="12"/>
      <c r="I1073" s="12"/>
      <c r="J1073" s="73"/>
      <c r="K1073" s="73"/>
      <c r="L1073" s="73"/>
      <c r="M1073" s="73"/>
      <c r="N1073" s="12"/>
      <c r="O1073" s="12"/>
      <c r="P1073" s="12"/>
      <c r="Q1073" s="12"/>
      <c r="R1073" s="12"/>
      <c r="S1073" s="12"/>
      <c r="T1073" s="12"/>
      <c r="U1073" s="5"/>
      <c r="V1073" s="5"/>
      <c r="W1073" s="5"/>
      <c r="X1073" s="5"/>
      <c r="Y1073" s="5"/>
      <c r="Z1073" s="5"/>
      <c r="AA1073" s="69"/>
      <c r="AB1073" s="69"/>
      <c r="AC1073" s="5"/>
      <c r="AD1073" s="88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  <c r="GO1073" s="5"/>
      <c r="GP1073" s="5"/>
      <c r="GQ1073" s="5"/>
      <c r="GR1073" s="5"/>
      <c r="GS1073" s="5"/>
      <c r="GT1073" s="5"/>
      <c r="GU1073" s="5"/>
      <c r="GV1073" s="5"/>
      <c r="GW1073" s="5"/>
      <c r="GX1073" s="5"/>
      <c r="GY1073" s="5"/>
      <c r="GZ1073" s="5"/>
      <c r="HA1073" s="5"/>
      <c r="HB1073" s="5"/>
      <c r="HC1073" s="5"/>
      <c r="HD1073" s="5"/>
      <c r="HE1073" s="5"/>
      <c r="HF1073" s="5"/>
      <c r="HG1073" s="5"/>
      <c r="HH1073" s="5"/>
      <c r="HI1073" s="5"/>
      <c r="HJ1073" s="5"/>
      <c r="HK1073" s="5"/>
      <c r="HL1073" s="5"/>
      <c r="HM1073" s="5"/>
      <c r="HN1073" s="5"/>
      <c r="HO1073" s="5"/>
      <c r="HP1073" s="5"/>
      <c r="HQ1073" s="5"/>
      <c r="HR1073" s="5"/>
      <c r="HS1073" s="5"/>
      <c r="HT1073" s="5"/>
      <c r="HU1073" s="5"/>
      <c r="HV1073" s="5"/>
      <c r="HW1073" s="5"/>
      <c r="HX1073" s="5"/>
      <c r="HY1073" s="5"/>
      <c r="HZ1073" s="5"/>
      <c r="IA1073" s="5"/>
      <c r="IB1073" s="5"/>
      <c r="IC1073" s="5"/>
      <c r="ID1073" s="5"/>
      <c r="IE1073" s="5"/>
      <c r="IF1073" s="5"/>
      <c r="IG1073" s="5"/>
      <c r="IH1073" s="5"/>
      <c r="II1073" s="5"/>
      <c r="IJ1073" s="5"/>
      <c r="IK1073" s="5"/>
      <c r="IL1073" s="5"/>
      <c r="IM1073" s="5"/>
      <c r="IN1073" s="5"/>
      <c r="IO1073" s="5"/>
      <c r="IP1073" s="5"/>
      <c r="IQ1073" s="5"/>
      <c r="IR1073" s="5"/>
      <c r="IS1073" s="5"/>
      <c r="IT1073" s="5"/>
      <c r="IU1073" s="5"/>
      <c r="IV1073" s="5"/>
    </row>
    <row r="1074" spans="1:256" ht="23.1" customHeight="1" x14ac:dyDescent="0.25">
      <c r="A1074" s="5"/>
      <c r="B1074" s="288"/>
      <c r="C1074" s="12"/>
      <c r="D1074" s="12"/>
      <c r="E1074" s="12"/>
      <c r="F1074" s="12"/>
      <c r="G1074" s="12"/>
      <c r="H1074" s="12"/>
      <c r="I1074" s="12"/>
      <c r="J1074" s="73"/>
      <c r="K1074" s="73"/>
      <c r="L1074" s="73"/>
      <c r="M1074" s="73"/>
      <c r="N1074" s="12"/>
      <c r="O1074" s="12"/>
      <c r="P1074" s="12"/>
      <c r="Q1074" s="12"/>
      <c r="R1074" s="12"/>
      <c r="S1074" s="12"/>
      <c r="T1074" s="12"/>
      <c r="U1074" s="5"/>
      <c r="V1074" s="5"/>
      <c r="W1074" s="5"/>
      <c r="X1074" s="5"/>
      <c r="Y1074" s="5"/>
      <c r="Z1074" s="5"/>
      <c r="AA1074" s="69"/>
      <c r="AB1074" s="69"/>
      <c r="AC1074" s="5"/>
      <c r="AD1074" s="88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  <c r="GO1074" s="5"/>
      <c r="GP1074" s="5"/>
      <c r="GQ1074" s="5"/>
      <c r="GR1074" s="5"/>
      <c r="GS1074" s="5"/>
      <c r="GT1074" s="5"/>
      <c r="GU1074" s="5"/>
      <c r="GV1074" s="5"/>
      <c r="GW1074" s="5"/>
      <c r="GX1074" s="5"/>
      <c r="GY1074" s="5"/>
      <c r="GZ1074" s="5"/>
      <c r="HA1074" s="5"/>
      <c r="HB1074" s="5"/>
      <c r="HC1074" s="5"/>
      <c r="HD1074" s="5"/>
      <c r="HE1074" s="5"/>
      <c r="HF1074" s="5"/>
      <c r="HG1074" s="5"/>
      <c r="HH1074" s="5"/>
      <c r="HI1074" s="5"/>
      <c r="HJ1074" s="5"/>
      <c r="HK1074" s="5"/>
      <c r="HL1074" s="5"/>
      <c r="HM1074" s="5"/>
      <c r="HN1074" s="5"/>
      <c r="HO1074" s="5"/>
      <c r="HP1074" s="5"/>
      <c r="HQ1074" s="5"/>
      <c r="HR1074" s="5"/>
      <c r="HS1074" s="5"/>
      <c r="HT1074" s="5"/>
      <c r="HU1074" s="5"/>
      <c r="HV1074" s="5"/>
      <c r="HW1074" s="5"/>
      <c r="HX1074" s="5"/>
      <c r="HY1074" s="5"/>
      <c r="HZ1074" s="5"/>
      <c r="IA1074" s="5"/>
      <c r="IB1074" s="5"/>
      <c r="IC1074" s="5"/>
      <c r="ID1074" s="5"/>
      <c r="IE1074" s="5"/>
      <c r="IF1074" s="5"/>
      <c r="IG1074" s="5"/>
      <c r="IH1074" s="5"/>
      <c r="II1074" s="5"/>
      <c r="IJ1074" s="5"/>
      <c r="IK1074" s="5"/>
      <c r="IL1074" s="5"/>
      <c r="IM1074" s="5"/>
      <c r="IN1074" s="5"/>
      <c r="IO1074" s="5"/>
      <c r="IP1074" s="5"/>
      <c r="IQ1074" s="5"/>
      <c r="IR1074" s="5"/>
      <c r="IS1074" s="5"/>
      <c r="IT1074" s="5"/>
      <c r="IU1074" s="5"/>
      <c r="IV1074" s="5"/>
    </row>
    <row r="1075" spans="1:256" ht="23.1" customHeight="1" x14ac:dyDescent="0.25">
      <c r="A1075" s="5"/>
      <c r="B1075" s="288"/>
      <c r="C1075" s="12"/>
      <c r="D1075" s="12"/>
      <c r="E1075" s="12"/>
      <c r="F1075" s="12"/>
      <c r="G1075" s="12"/>
      <c r="H1075" s="12"/>
      <c r="I1075" s="12"/>
      <c r="J1075" s="73"/>
      <c r="K1075" s="73"/>
      <c r="L1075" s="73"/>
      <c r="M1075" s="73"/>
      <c r="N1075" s="12"/>
      <c r="O1075" s="12"/>
      <c r="P1075" s="12"/>
      <c r="Q1075" s="12"/>
      <c r="R1075" s="12"/>
      <c r="S1075" s="12"/>
      <c r="T1075" s="12"/>
      <c r="U1075" s="5"/>
      <c r="V1075" s="5"/>
      <c r="W1075" s="5"/>
      <c r="X1075" s="5"/>
      <c r="Y1075" s="5"/>
      <c r="Z1075" s="5"/>
      <c r="AA1075" s="69"/>
      <c r="AB1075" s="69"/>
      <c r="AC1075" s="5"/>
      <c r="AD1075" s="88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  <c r="GO1075" s="5"/>
      <c r="GP1075" s="5"/>
      <c r="GQ1075" s="5"/>
      <c r="GR1075" s="5"/>
      <c r="GS1075" s="5"/>
      <c r="GT1075" s="5"/>
      <c r="GU1075" s="5"/>
      <c r="GV1075" s="5"/>
      <c r="GW1075" s="5"/>
      <c r="GX1075" s="5"/>
      <c r="GY1075" s="5"/>
      <c r="GZ1075" s="5"/>
      <c r="HA1075" s="5"/>
      <c r="HB1075" s="5"/>
      <c r="HC1075" s="5"/>
      <c r="HD1075" s="5"/>
      <c r="HE1075" s="5"/>
      <c r="HF1075" s="5"/>
      <c r="HG1075" s="5"/>
      <c r="HH1075" s="5"/>
      <c r="HI1075" s="5"/>
      <c r="HJ1075" s="5"/>
      <c r="HK1075" s="5"/>
      <c r="HL1075" s="5"/>
      <c r="HM1075" s="5"/>
      <c r="HN1075" s="5"/>
      <c r="HO1075" s="5"/>
      <c r="HP1075" s="5"/>
      <c r="HQ1075" s="5"/>
      <c r="HR1075" s="5"/>
      <c r="HS1075" s="5"/>
      <c r="HT1075" s="5"/>
      <c r="HU1075" s="5"/>
      <c r="HV1075" s="5"/>
      <c r="HW1075" s="5"/>
      <c r="HX1075" s="5"/>
      <c r="HY1075" s="5"/>
      <c r="HZ1075" s="5"/>
      <c r="IA1075" s="5"/>
      <c r="IB1075" s="5"/>
      <c r="IC1075" s="5"/>
      <c r="ID1075" s="5"/>
      <c r="IE1075" s="5"/>
      <c r="IF1075" s="5"/>
      <c r="IG1075" s="5"/>
      <c r="IH1075" s="5"/>
      <c r="II1075" s="5"/>
      <c r="IJ1075" s="5"/>
      <c r="IK1075" s="5"/>
      <c r="IL1075" s="5"/>
      <c r="IM1075" s="5"/>
      <c r="IN1075" s="5"/>
      <c r="IO1075" s="5"/>
      <c r="IP1075" s="5"/>
      <c r="IQ1075" s="5"/>
      <c r="IR1075" s="5"/>
      <c r="IS1075" s="5"/>
      <c r="IT1075" s="5"/>
      <c r="IU1075" s="5"/>
      <c r="IV1075" s="5"/>
    </row>
    <row r="1076" spans="1:256" ht="23.1" customHeight="1" x14ac:dyDescent="0.25">
      <c r="A1076" s="5"/>
      <c r="B1076" s="288"/>
      <c r="C1076" s="12"/>
      <c r="D1076" s="12"/>
      <c r="E1076" s="12"/>
      <c r="F1076" s="12"/>
      <c r="G1076" s="12"/>
      <c r="H1076" s="12"/>
      <c r="I1076" s="12"/>
      <c r="J1076" s="73"/>
      <c r="K1076" s="73"/>
      <c r="L1076" s="73"/>
      <c r="M1076" s="73"/>
      <c r="N1076" s="12"/>
      <c r="O1076" s="12"/>
      <c r="P1076" s="12"/>
      <c r="Q1076" s="12"/>
      <c r="R1076" s="12"/>
      <c r="S1076" s="12"/>
      <c r="T1076" s="12"/>
      <c r="U1076" s="5"/>
      <c r="V1076" s="5"/>
      <c r="W1076" s="5"/>
      <c r="X1076" s="5"/>
      <c r="Y1076" s="5"/>
      <c r="Z1076" s="5"/>
      <c r="AA1076" s="69"/>
      <c r="AB1076" s="69"/>
      <c r="AC1076" s="5"/>
      <c r="AD1076" s="88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  <c r="GO1076" s="5"/>
      <c r="GP1076" s="5"/>
      <c r="GQ1076" s="5"/>
      <c r="GR1076" s="5"/>
      <c r="GS1076" s="5"/>
      <c r="GT1076" s="5"/>
      <c r="GU1076" s="5"/>
      <c r="GV1076" s="5"/>
      <c r="GW1076" s="5"/>
      <c r="GX1076" s="5"/>
      <c r="GY1076" s="5"/>
      <c r="GZ1076" s="5"/>
      <c r="HA1076" s="5"/>
      <c r="HB1076" s="5"/>
      <c r="HC1076" s="5"/>
      <c r="HD1076" s="5"/>
      <c r="HE1076" s="5"/>
      <c r="HF1076" s="5"/>
      <c r="HG1076" s="5"/>
      <c r="HH1076" s="5"/>
      <c r="HI1076" s="5"/>
      <c r="HJ1076" s="5"/>
      <c r="HK1076" s="5"/>
      <c r="HL1076" s="5"/>
      <c r="HM1076" s="5"/>
      <c r="HN1076" s="5"/>
      <c r="HO1076" s="5"/>
      <c r="HP1076" s="5"/>
      <c r="HQ1076" s="5"/>
      <c r="HR1076" s="5"/>
      <c r="HS1076" s="5"/>
      <c r="HT1076" s="5"/>
      <c r="HU1076" s="5"/>
      <c r="HV1076" s="5"/>
      <c r="HW1076" s="5"/>
      <c r="HX1076" s="5"/>
      <c r="HY1076" s="5"/>
      <c r="HZ1076" s="5"/>
      <c r="IA1076" s="5"/>
      <c r="IB1076" s="5"/>
      <c r="IC1076" s="5"/>
      <c r="ID1076" s="5"/>
      <c r="IE1076" s="5"/>
      <c r="IF1076" s="5"/>
      <c r="IG1076" s="5"/>
      <c r="IH1076" s="5"/>
      <c r="II1076" s="5"/>
      <c r="IJ1076" s="5"/>
      <c r="IK1076" s="5"/>
      <c r="IL1076" s="5"/>
      <c r="IM1076" s="5"/>
      <c r="IN1076" s="5"/>
      <c r="IO1076" s="5"/>
      <c r="IP1076" s="5"/>
      <c r="IQ1076" s="5"/>
      <c r="IR1076" s="5"/>
      <c r="IS1076" s="5"/>
      <c r="IT1076" s="5"/>
      <c r="IU1076" s="5"/>
      <c r="IV1076" s="5"/>
    </row>
    <row r="1077" spans="1:256" ht="23.1" customHeight="1" x14ac:dyDescent="0.25">
      <c r="A1077" s="5"/>
      <c r="B1077" s="288"/>
      <c r="C1077" s="12"/>
      <c r="D1077" s="12"/>
      <c r="E1077" s="12"/>
      <c r="F1077" s="12"/>
      <c r="G1077" s="12"/>
      <c r="H1077" s="12"/>
      <c r="I1077" s="12"/>
      <c r="J1077" s="73"/>
      <c r="K1077" s="73"/>
      <c r="L1077" s="73"/>
      <c r="M1077" s="73"/>
      <c r="N1077" s="12"/>
      <c r="O1077" s="12"/>
      <c r="P1077" s="12"/>
      <c r="Q1077" s="12"/>
      <c r="R1077" s="12"/>
      <c r="S1077" s="12"/>
      <c r="T1077" s="12"/>
      <c r="U1077" s="5"/>
      <c r="V1077" s="5"/>
      <c r="W1077" s="5"/>
      <c r="X1077" s="5"/>
      <c r="Y1077" s="5"/>
      <c r="Z1077" s="5"/>
      <c r="AA1077" s="69"/>
      <c r="AB1077" s="69"/>
      <c r="AC1077" s="5"/>
      <c r="AD1077" s="88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  <c r="GO1077" s="5"/>
      <c r="GP1077" s="5"/>
      <c r="GQ1077" s="5"/>
      <c r="GR1077" s="5"/>
      <c r="GS1077" s="5"/>
      <c r="GT1077" s="5"/>
      <c r="GU1077" s="5"/>
      <c r="GV1077" s="5"/>
      <c r="GW1077" s="5"/>
      <c r="GX1077" s="5"/>
      <c r="GY1077" s="5"/>
      <c r="GZ1077" s="5"/>
      <c r="HA1077" s="5"/>
      <c r="HB1077" s="5"/>
      <c r="HC1077" s="5"/>
      <c r="HD1077" s="5"/>
      <c r="HE1077" s="5"/>
      <c r="HF1077" s="5"/>
      <c r="HG1077" s="5"/>
      <c r="HH1077" s="5"/>
      <c r="HI1077" s="5"/>
      <c r="HJ1077" s="5"/>
      <c r="HK1077" s="5"/>
      <c r="HL1077" s="5"/>
      <c r="HM1077" s="5"/>
      <c r="HN1077" s="5"/>
      <c r="HO1077" s="5"/>
      <c r="HP1077" s="5"/>
      <c r="HQ1077" s="5"/>
      <c r="HR1077" s="5"/>
      <c r="HS1077" s="5"/>
      <c r="HT1077" s="5"/>
      <c r="HU1077" s="5"/>
      <c r="HV1077" s="5"/>
      <c r="HW1077" s="5"/>
      <c r="HX1077" s="5"/>
      <c r="HY1077" s="5"/>
      <c r="HZ1077" s="5"/>
      <c r="IA1077" s="5"/>
      <c r="IB1077" s="5"/>
      <c r="IC1077" s="5"/>
      <c r="ID1077" s="5"/>
      <c r="IE1077" s="5"/>
      <c r="IF1077" s="5"/>
      <c r="IG1077" s="5"/>
      <c r="IH1077" s="5"/>
      <c r="II1077" s="5"/>
      <c r="IJ1077" s="5"/>
      <c r="IK1077" s="5"/>
      <c r="IL1077" s="5"/>
      <c r="IM1077" s="5"/>
      <c r="IN1077" s="5"/>
      <c r="IO1077" s="5"/>
      <c r="IP1077" s="5"/>
      <c r="IQ1077" s="5"/>
      <c r="IR1077" s="5"/>
      <c r="IS1077" s="5"/>
      <c r="IT1077" s="5"/>
      <c r="IU1077" s="5"/>
      <c r="IV1077" s="5"/>
    </row>
    <row r="1078" spans="1:256" ht="23.1" customHeight="1" x14ac:dyDescent="0.25">
      <c r="A1078" s="5"/>
      <c r="B1078" s="288"/>
      <c r="C1078" s="12"/>
      <c r="D1078" s="12"/>
      <c r="E1078" s="12"/>
      <c r="F1078" s="12"/>
      <c r="G1078" s="12"/>
      <c r="H1078" s="12"/>
      <c r="I1078" s="12"/>
      <c r="J1078" s="73"/>
      <c r="K1078" s="73"/>
      <c r="L1078" s="73"/>
      <c r="M1078" s="73"/>
      <c r="N1078" s="12"/>
      <c r="O1078" s="12"/>
      <c r="P1078" s="12"/>
      <c r="Q1078" s="12"/>
      <c r="R1078" s="12"/>
      <c r="S1078" s="12"/>
      <c r="T1078" s="12"/>
      <c r="U1078" s="5"/>
      <c r="V1078" s="5"/>
      <c r="W1078" s="5"/>
      <c r="X1078" s="5"/>
      <c r="Y1078" s="5"/>
      <c r="Z1078" s="5"/>
      <c r="AA1078" s="69"/>
      <c r="AB1078" s="69"/>
      <c r="AC1078" s="5"/>
      <c r="AD1078" s="88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  <c r="GO1078" s="5"/>
      <c r="GP1078" s="5"/>
      <c r="GQ1078" s="5"/>
      <c r="GR1078" s="5"/>
      <c r="GS1078" s="5"/>
      <c r="GT1078" s="5"/>
      <c r="GU1078" s="5"/>
      <c r="GV1078" s="5"/>
      <c r="GW1078" s="5"/>
      <c r="GX1078" s="5"/>
      <c r="GY1078" s="5"/>
      <c r="GZ1078" s="5"/>
      <c r="HA1078" s="5"/>
      <c r="HB1078" s="5"/>
      <c r="HC1078" s="5"/>
      <c r="HD1078" s="5"/>
      <c r="HE1078" s="5"/>
      <c r="HF1078" s="5"/>
      <c r="HG1078" s="5"/>
      <c r="HH1078" s="5"/>
      <c r="HI1078" s="5"/>
      <c r="HJ1078" s="5"/>
      <c r="HK1078" s="5"/>
      <c r="HL1078" s="5"/>
      <c r="HM1078" s="5"/>
      <c r="HN1078" s="5"/>
      <c r="HO1078" s="5"/>
      <c r="HP1078" s="5"/>
      <c r="HQ1078" s="5"/>
      <c r="HR1078" s="5"/>
      <c r="HS1078" s="5"/>
      <c r="HT1078" s="5"/>
      <c r="HU1078" s="5"/>
      <c r="HV1078" s="5"/>
      <c r="HW1078" s="5"/>
      <c r="HX1078" s="5"/>
      <c r="HY1078" s="5"/>
      <c r="HZ1078" s="5"/>
      <c r="IA1078" s="5"/>
      <c r="IB1078" s="5"/>
      <c r="IC1078" s="5"/>
      <c r="ID1078" s="5"/>
      <c r="IE1078" s="5"/>
      <c r="IF1078" s="5"/>
      <c r="IG1078" s="5"/>
      <c r="IH1078" s="5"/>
      <c r="II1078" s="5"/>
      <c r="IJ1078" s="5"/>
      <c r="IK1078" s="5"/>
      <c r="IL1078" s="5"/>
      <c r="IM1078" s="5"/>
      <c r="IN1078" s="5"/>
      <c r="IO1078" s="5"/>
      <c r="IP1078" s="5"/>
      <c r="IQ1078" s="5"/>
      <c r="IR1078" s="5"/>
      <c r="IS1078" s="5"/>
      <c r="IT1078" s="5"/>
      <c r="IU1078" s="5"/>
      <c r="IV1078" s="5"/>
    </row>
    <row r="1079" spans="1:256" ht="23.1" customHeight="1" x14ac:dyDescent="0.25">
      <c r="A1079" s="5"/>
      <c r="B1079" s="288"/>
      <c r="C1079" s="12"/>
      <c r="D1079" s="12"/>
      <c r="E1079" s="12"/>
      <c r="F1079" s="12"/>
      <c r="G1079" s="12"/>
      <c r="H1079" s="12"/>
      <c r="I1079" s="12"/>
      <c r="J1079" s="73"/>
      <c r="K1079" s="73"/>
      <c r="L1079" s="73"/>
      <c r="M1079" s="73"/>
      <c r="N1079" s="12"/>
      <c r="O1079" s="12"/>
      <c r="P1079" s="12"/>
      <c r="Q1079" s="12"/>
      <c r="R1079" s="12"/>
      <c r="S1079" s="12"/>
      <c r="T1079" s="12"/>
      <c r="U1079" s="5"/>
      <c r="V1079" s="5"/>
      <c r="W1079" s="5"/>
      <c r="X1079" s="5"/>
      <c r="Y1079" s="5"/>
      <c r="Z1079" s="5"/>
      <c r="AA1079" s="69"/>
      <c r="AB1079" s="69"/>
      <c r="AC1079" s="5"/>
      <c r="AD1079" s="88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  <c r="HH1079" s="5"/>
      <c r="HI1079" s="5"/>
      <c r="HJ1079" s="5"/>
      <c r="HK1079" s="5"/>
      <c r="HL1079" s="5"/>
      <c r="HM1079" s="5"/>
      <c r="HN1079" s="5"/>
      <c r="HO1079" s="5"/>
      <c r="HP1079" s="5"/>
      <c r="HQ1079" s="5"/>
      <c r="HR1079" s="5"/>
      <c r="HS1079" s="5"/>
      <c r="HT1079" s="5"/>
      <c r="HU1079" s="5"/>
      <c r="HV1079" s="5"/>
      <c r="HW1079" s="5"/>
      <c r="HX1079" s="5"/>
      <c r="HY1079" s="5"/>
      <c r="HZ1079" s="5"/>
      <c r="IA1079" s="5"/>
      <c r="IB1079" s="5"/>
      <c r="IC1079" s="5"/>
      <c r="ID1079" s="5"/>
      <c r="IE1079" s="5"/>
      <c r="IF1079" s="5"/>
      <c r="IG1079" s="5"/>
      <c r="IH1079" s="5"/>
      <c r="II1079" s="5"/>
      <c r="IJ1079" s="5"/>
      <c r="IK1079" s="5"/>
      <c r="IL1079" s="5"/>
      <c r="IM1079" s="5"/>
      <c r="IN1079" s="5"/>
      <c r="IO1079" s="5"/>
      <c r="IP1079" s="5"/>
      <c r="IQ1079" s="5"/>
      <c r="IR1079" s="5"/>
      <c r="IS1079" s="5"/>
      <c r="IT1079" s="5"/>
      <c r="IU1079" s="5"/>
      <c r="IV1079" s="5"/>
    </row>
    <row r="1080" spans="1:256" ht="23.1" customHeight="1" x14ac:dyDescent="0.25">
      <c r="A1080" s="5"/>
      <c r="B1080" s="288"/>
      <c r="C1080" s="12"/>
      <c r="D1080" s="12"/>
      <c r="E1080" s="12"/>
      <c r="F1080" s="12"/>
      <c r="G1080" s="12"/>
      <c r="H1080" s="12"/>
      <c r="I1080" s="12"/>
      <c r="J1080" s="73"/>
      <c r="K1080" s="73"/>
      <c r="L1080" s="73"/>
      <c r="M1080" s="73"/>
      <c r="N1080" s="12"/>
      <c r="O1080" s="12"/>
      <c r="P1080" s="12"/>
      <c r="Q1080" s="12"/>
      <c r="R1080" s="12"/>
      <c r="S1080" s="12"/>
      <c r="T1080" s="12"/>
      <c r="U1080" s="5"/>
      <c r="V1080" s="5"/>
      <c r="W1080" s="5"/>
      <c r="X1080" s="5"/>
      <c r="Y1080" s="5"/>
      <c r="Z1080" s="5"/>
      <c r="AA1080" s="69"/>
      <c r="AB1080" s="69"/>
      <c r="AC1080" s="5"/>
      <c r="AD1080" s="88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  <c r="ID1080" s="5"/>
      <c r="IE1080" s="5"/>
      <c r="IF1080" s="5"/>
      <c r="IG1080" s="5"/>
      <c r="IH1080" s="5"/>
      <c r="II1080" s="5"/>
      <c r="IJ1080" s="5"/>
      <c r="IK1080" s="5"/>
      <c r="IL1080" s="5"/>
      <c r="IM1080" s="5"/>
      <c r="IN1080" s="5"/>
      <c r="IO1080" s="5"/>
      <c r="IP1080" s="5"/>
      <c r="IQ1080" s="5"/>
      <c r="IR1080" s="5"/>
      <c r="IS1080" s="5"/>
      <c r="IT1080" s="5"/>
      <c r="IU1080" s="5"/>
      <c r="IV1080" s="5"/>
    </row>
    <row r="1081" spans="1:256" ht="23.1" customHeight="1" x14ac:dyDescent="0.25">
      <c r="A1081" s="5"/>
      <c r="B1081" s="288"/>
      <c r="C1081" s="12"/>
      <c r="D1081" s="12"/>
      <c r="E1081" s="12"/>
      <c r="F1081" s="12"/>
      <c r="G1081" s="12"/>
      <c r="H1081" s="12"/>
      <c r="I1081" s="12"/>
      <c r="J1081" s="73"/>
      <c r="K1081" s="73"/>
      <c r="L1081" s="73"/>
      <c r="M1081" s="73"/>
      <c r="N1081" s="12"/>
      <c r="O1081" s="12"/>
      <c r="P1081" s="12"/>
      <c r="Q1081" s="12"/>
      <c r="R1081" s="12"/>
      <c r="S1081" s="12"/>
      <c r="T1081" s="12"/>
      <c r="U1081" s="5"/>
      <c r="V1081" s="5"/>
      <c r="W1081" s="5"/>
      <c r="X1081" s="5"/>
      <c r="Y1081" s="5"/>
      <c r="Z1081" s="5"/>
      <c r="AA1081" s="69"/>
      <c r="AB1081" s="69"/>
      <c r="AC1081" s="5"/>
      <c r="AD1081" s="88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  <c r="GO1081" s="5"/>
      <c r="GP1081" s="5"/>
      <c r="GQ1081" s="5"/>
      <c r="GR1081" s="5"/>
      <c r="GS1081" s="5"/>
      <c r="GT1081" s="5"/>
      <c r="GU1081" s="5"/>
      <c r="GV1081" s="5"/>
      <c r="GW1081" s="5"/>
      <c r="GX1081" s="5"/>
      <c r="GY1081" s="5"/>
      <c r="GZ1081" s="5"/>
      <c r="HA1081" s="5"/>
      <c r="HB1081" s="5"/>
      <c r="HC1081" s="5"/>
      <c r="HD1081" s="5"/>
      <c r="HE1081" s="5"/>
      <c r="HF1081" s="5"/>
      <c r="HG1081" s="5"/>
      <c r="HH1081" s="5"/>
      <c r="HI1081" s="5"/>
      <c r="HJ1081" s="5"/>
      <c r="HK1081" s="5"/>
      <c r="HL1081" s="5"/>
      <c r="HM1081" s="5"/>
      <c r="HN1081" s="5"/>
      <c r="HO1081" s="5"/>
      <c r="HP1081" s="5"/>
      <c r="HQ1081" s="5"/>
      <c r="HR1081" s="5"/>
      <c r="HS1081" s="5"/>
      <c r="HT1081" s="5"/>
      <c r="HU1081" s="5"/>
      <c r="HV1081" s="5"/>
      <c r="HW1081" s="5"/>
      <c r="HX1081" s="5"/>
      <c r="HY1081" s="5"/>
      <c r="HZ1081" s="5"/>
      <c r="IA1081" s="5"/>
      <c r="IB1081" s="5"/>
      <c r="IC1081" s="5"/>
      <c r="ID1081" s="5"/>
      <c r="IE1081" s="5"/>
      <c r="IF1081" s="5"/>
      <c r="IG1081" s="5"/>
      <c r="IH1081" s="5"/>
      <c r="II1081" s="5"/>
      <c r="IJ1081" s="5"/>
      <c r="IK1081" s="5"/>
      <c r="IL1081" s="5"/>
      <c r="IM1081" s="5"/>
      <c r="IN1081" s="5"/>
      <c r="IO1081" s="5"/>
      <c r="IP1081" s="5"/>
      <c r="IQ1081" s="5"/>
      <c r="IR1081" s="5"/>
      <c r="IS1081" s="5"/>
      <c r="IT1081" s="5"/>
      <c r="IU1081" s="5"/>
      <c r="IV1081" s="5"/>
    </row>
    <row r="1082" spans="1:256" ht="23.1" customHeight="1" x14ac:dyDescent="0.25">
      <c r="A1082" s="5"/>
      <c r="B1082" s="288"/>
      <c r="C1082" s="12"/>
      <c r="D1082" s="12"/>
      <c r="E1082" s="12"/>
      <c r="F1082" s="12"/>
      <c r="G1082" s="12"/>
      <c r="H1082" s="12"/>
      <c r="I1082" s="12"/>
      <c r="J1082" s="73"/>
      <c r="K1082" s="73"/>
      <c r="L1082" s="73"/>
      <c r="M1082" s="73"/>
      <c r="N1082" s="12"/>
      <c r="O1082" s="12"/>
      <c r="P1082" s="12"/>
      <c r="Q1082" s="12"/>
      <c r="R1082" s="12"/>
      <c r="S1082" s="12"/>
      <c r="T1082" s="12"/>
      <c r="U1082" s="5"/>
      <c r="V1082" s="5"/>
      <c r="W1082" s="5"/>
      <c r="X1082" s="5"/>
      <c r="Y1082" s="5"/>
      <c r="Z1082" s="5"/>
      <c r="AA1082" s="69"/>
      <c r="AB1082" s="69"/>
      <c r="AC1082" s="5"/>
      <c r="AD1082" s="88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5"/>
      <c r="HO1082" s="5"/>
      <c r="HP1082" s="5"/>
      <c r="HQ1082" s="5"/>
      <c r="HR1082" s="5"/>
      <c r="HS1082" s="5"/>
      <c r="HT1082" s="5"/>
      <c r="HU1082" s="5"/>
      <c r="HV1082" s="5"/>
      <c r="HW1082" s="5"/>
      <c r="HX1082" s="5"/>
      <c r="HY1082" s="5"/>
      <c r="HZ1082" s="5"/>
      <c r="IA1082" s="5"/>
      <c r="IB1082" s="5"/>
      <c r="IC1082" s="5"/>
      <c r="ID1082" s="5"/>
      <c r="IE1082" s="5"/>
      <c r="IF1082" s="5"/>
      <c r="IG1082" s="5"/>
      <c r="IH1082" s="5"/>
      <c r="II1082" s="5"/>
      <c r="IJ1082" s="5"/>
      <c r="IK1082" s="5"/>
      <c r="IL1082" s="5"/>
      <c r="IM1082" s="5"/>
      <c r="IN1082" s="5"/>
      <c r="IO1082" s="5"/>
      <c r="IP1082" s="5"/>
      <c r="IQ1082" s="5"/>
      <c r="IR1082" s="5"/>
      <c r="IS1082" s="5"/>
      <c r="IT1082" s="5"/>
      <c r="IU1082" s="5"/>
      <c r="IV1082" s="5"/>
    </row>
    <row r="1083" spans="1:256" ht="23.1" customHeight="1" x14ac:dyDescent="0.25">
      <c r="A1083" s="5"/>
      <c r="B1083" s="288"/>
      <c r="C1083" s="12"/>
      <c r="D1083" s="12"/>
      <c r="E1083" s="12"/>
      <c r="F1083" s="12"/>
      <c r="G1083" s="12"/>
      <c r="H1083" s="12"/>
      <c r="I1083" s="12"/>
      <c r="J1083" s="73"/>
      <c r="K1083" s="73"/>
      <c r="L1083" s="73"/>
      <c r="M1083" s="73"/>
      <c r="N1083" s="12"/>
      <c r="O1083" s="12"/>
      <c r="P1083" s="12"/>
      <c r="Q1083" s="12"/>
      <c r="R1083" s="12"/>
      <c r="S1083" s="12"/>
      <c r="T1083" s="12"/>
      <c r="U1083" s="5"/>
      <c r="V1083" s="5"/>
      <c r="W1083" s="5"/>
      <c r="X1083" s="5"/>
      <c r="Y1083" s="5"/>
      <c r="Z1083" s="5"/>
      <c r="AA1083" s="69"/>
      <c r="AB1083" s="69"/>
      <c r="AC1083" s="5"/>
      <c r="AD1083" s="88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  <c r="GO1083" s="5"/>
      <c r="GP1083" s="5"/>
      <c r="GQ1083" s="5"/>
      <c r="GR1083" s="5"/>
      <c r="GS1083" s="5"/>
      <c r="GT1083" s="5"/>
      <c r="GU1083" s="5"/>
      <c r="GV1083" s="5"/>
      <c r="GW1083" s="5"/>
      <c r="GX1083" s="5"/>
      <c r="GY1083" s="5"/>
      <c r="GZ1083" s="5"/>
      <c r="HA1083" s="5"/>
      <c r="HB1083" s="5"/>
      <c r="HC1083" s="5"/>
      <c r="HD1083" s="5"/>
      <c r="HE1083" s="5"/>
      <c r="HF1083" s="5"/>
      <c r="HG1083" s="5"/>
      <c r="HH1083" s="5"/>
      <c r="HI1083" s="5"/>
      <c r="HJ1083" s="5"/>
      <c r="HK1083" s="5"/>
      <c r="HL1083" s="5"/>
      <c r="HM1083" s="5"/>
      <c r="HN1083" s="5"/>
      <c r="HO1083" s="5"/>
      <c r="HP1083" s="5"/>
      <c r="HQ1083" s="5"/>
      <c r="HR1083" s="5"/>
      <c r="HS1083" s="5"/>
      <c r="HT1083" s="5"/>
      <c r="HU1083" s="5"/>
      <c r="HV1083" s="5"/>
      <c r="HW1083" s="5"/>
      <c r="HX1083" s="5"/>
      <c r="HY1083" s="5"/>
      <c r="HZ1083" s="5"/>
      <c r="IA1083" s="5"/>
      <c r="IB1083" s="5"/>
      <c r="IC1083" s="5"/>
      <c r="ID1083" s="5"/>
      <c r="IE1083" s="5"/>
      <c r="IF1083" s="5"/>
      <c r="IG1083" s="5"/>
      <c r="IH1083" s="5"/>
      <c r="II1083" s="5"/>
      <c r="IJ1083" s="5"/>
      <c r="IK1083" s="5"/>
      <c r="IL1083" s="5"/>
      <c r="IM1083" s="5"/>
      <c r="IN1083" s="5"/>
      <c r="IO1083" s="5"/>
      <c r="IP1083" s="5"/>
      <c r="IQ1083" s="5"/>
      <c r="IR1083" s="5"/>
      <c r="IS1083" s="5"/>
      <c r="IT1083" s="5"/>
      <c r="IU1083" s="5"/>
      <c r="IV1083" s="5"/>
    </row>
    <row r="1084" spans="1:256" ht="23.1" customHeight="1" x14ac:dyDescent="0.25">
      <c r="A1084" s="5"/>
      <c r="B1084" s="288"/>
      <c r="C1084" s="12"/>
      <c r="D1084" s="12"/>
      <c r="E1084" s="12"/>
      <c r="F1084" s="12"/>
      <c r="G1084" s="12"/>
      <c r="H1084" s="12"/>
      <c r="I1084" s="12"/>
      <c r="J1084" s="73"/>
      <c r="K1084" s="73"/>
      <c r="L1084" s="73"/>
      <c r="M1084" s="73"/>
      <c r="N1084" s="12"/>
      <c r="O1084" s="12"/>
      <c r="P1084" s="12"/>
      <c r="Q1084" s="12"/>
      <c r="R1084" s="12"/>
      <c r="S1084" s="12"/>
      <c r="T1084" s="12"/>
      <c r="U1084" s="5"/>
      <c r="V1084" s="5"/>
      <c r="W1084" s="5"/>
      <c r="X1084" s="5"/>
      <c r="Y1084" s="5"/>
      <c r="Z1084" s="5"/>
      <c r="AA1084" s="69"/>
      <c r="AB1084" s="69"/>
      <c r="AC1084" s="5"/>
      <c r="AD1084" s="88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5"/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  <c r="ID1084" s="5"/>
      <c r="IE1084" s="5"/>
      <c r="IF1084" s="5"/>
      <c r="IG1084" s="5"/>
      <c r="IH1084" s="5"/>
      <c r="II1084" s="5"/>
      <c r="IJ1084" s="5"/>
      <c r="IK1084" s="5"/>
      <c r="IL1084" s="5"/>
      <c r="IM1084" s="5"/>
      <c r="IN1084" s="5"/>
      <c r="IO1084" s="5"/>
      <c r="IP1084" s="5"/>
      <c r="IQ1084" s="5"/>
      <c r="IR1084" s="5"/>
      <c r="IS1084" s="5"/>
      <c r="IT1084" s="5"/>
      <c r="IU1084" s="5"/>
      <c r="IV1084" s="5"/>
    </row>
    <row r="1085" spans="1:256" ht="23.1" customHeight="1" x14ac:dyDescent="0.25">
      <c r="A1085" s="5"/>
      <c r="B1085" s="288"/>
      <c r="C1085" s="12"/>
      <c r="D1085" s="12"/>
      <c r="E1085" s="12"/>
      <c r="F1085" s="12"/>
      <c r="G1085" s="12"/>
      <c r="H1085" s="12"/>
      <c r="I1085" s="12"/>
      <c r="J1085" s="73"/>
      <c r="K1085" s="73"/>
      <c r="L1085" s="73"/>
      <c r="M1085" s="73"/>
      <c r="N1085" s="12"/>
      <c r="O1085" s="12"/>
      <c r="P1085" s="12"/>
      <c r="Q1085" s="12"/>
      <c r="R1085" s="12"/>
      <c r="S1085" s="12"/>
      <c r="T1085" s="12"/>
      <c r="U1085" s="5"/>
      <c r="V1085" s="5"/>
      <c r="W1085" s="5"/>
      <c r="X1085" s="5"/>
      <c r="Y1085" s="5"/>
      <c r="Z1085" s="5"/>
      <c r="AA1085" s="69"/>
      <c r="AB1085" s="69"/>
      <c r="AC1085" s="5"/>
      <c r="AD1085" s="88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  <c r="GO1085" s="5"/>
      <c r="GP1085" s="5"/>
      <c r="GQ1085" s="5"/>
      <c r="GR1085" s="5"/>
      <c r="GS1085" s="5"/>
      <c r="GT1085" s="5"/>
      <c r="GU1085" s="5"/>
      <c r="GV1085" s="5"/>
      <c r="GW1085" s="5"/>
      <c r="GX1085" s="5"/>
      <c r="GY1085" s="5"/>
      <c r="GZ1085" s="5"/>
      <c r="HA1085" s="5"/>
      <c r="HB1085" s="5"/>
      <c r="HC1085" s="5"/>
      <c r="HD1085" s="5"/>
      <c r="HE1085" s="5"/>
      <c r="HF1085" s="5"/>
      <c r="HG1085" s="5"/>
      <c r="HH1085" s="5"/>
      <c r="HI1085" s="5"/>
      <c r="HJ1085" s="5"/>
      <c r="HK1085" s="5"/>
      <c r="HL1085" s="5"/>
      <c r="HM1085" s="5"/>
      <c r="HN1085" s="5"/>
      <c r="HO1085" s="5"/>
      <c r="HP1085" s="5"/>
      <c r="HQ1085" s="5"/>
      <c r="HR1085" s="5"/>
      <c r="HS1085" s="5"/>
      <c r="HT1085" s="5"/>
      <c r="HU1085" s="5"/>
      <c r="HV1085" s="5"/>
      <c r="HW1085" s="5"/>
      <c r="HX1085" s="5"/>
      <c r="HY1085" s="5"/>
      <c r="HZ1085" s="5"/>
      <c r="IA1085" s="5"/>
      <c r="IB1085" s="5"/>
      <c r="IC1085" s="5"/>
      <c r="ID1085" s="5"/>
      <c r="IE1085" s="5"/>
      <c r="IF1085" s="5"/>
      <c r="IG1085" s="5"/>
      <c r="IH1085" s="5"/>
      <c r="II1085" s="5"/>
      <c r="IJ1085" s="5"/>
      <c r="IK1085" s="5"/>
      <c r="IL1085" s="5"/>
      <c r="IM1085" s="5"/>
      <c r="IN1085" s="5"/>
      <c r="IO1085" s="5"/>
      <c r="IP1085" s="5"/>
      <c r="IQ1085" s="5"/>
      <c r="IR1085" s="5"/>
      <c r="IS1085" s="5"/>
      <c r="IT1085" s="5"/>
      <c r="IU1085" s="5"/>
      <c r="IV1085" s="5"/>
    </row>
    <row r="1086" spans="1:256" ht="23.1" customHeight="1" x14ac:dyDescent="0.25">
      <c r="A1086" s="5"/>
      <c r="B1086" s="288"/>
      <c r="C1086" s="12"/>
      <c r="D1086" s="12"/>
      <c r="E1086" s="12"/>
      <c r="F1086" s="12"/>
      <c r="G1086" s="12"/>
      <c r="H1086" s="12"/>
      <c r="I1086" s="12"/>
      <c r="J1086" s="73"/>
      <c r="K1086" s="73"/>
      <c r="L1086" s="73"/>
      <c r="M1086" s="73"/>
      <c r="N1086" s="12"/>
      <c r="O1086" s="12"/>
      <c r="P1086" s="12"/>
      <c r="Q1086" s="12"/>
      <c r="R1086" s="12"/>
      <c r="S1086" s="12"/>
      <c r="T1086" s="12"/>
      <c r="U1086" s="5"/>
      <c r="V1086" s="5"/>
      <c r="W1086" s="5"/>
      <c r="X1086" s="5"/>
      <c r="Y1086" s="5"/>
      <c r="Z1086" s="5"/>
      <c r="AA1086" s="69"/>
      <c r="AB1086" s="69"/>
      <c r="AC1086" s="5"/>
      <c r="AD1086" s="88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5"/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5"/>
      <c r="IC1086" s="5"/>
      <c r="ID1086" s="5"/>
      <c r="IE1086" s="5"/>
      <c r="IF1086" s="5"/>
      <c r="IG1086" s="5"/>
      <c r="IH1086" s="5"/>
      <c r="II1086" s="5"/>
      <c r="IJ1086" s="5"/>
      <c r="IK1086" s="5"/>
      <c r="IL1086" s="5"/>
      <c r="IM1086" s="5"/>
      <c r="IN1086" s="5"/>
      <c r="IO1086" s="5"/>
      <c r="IP1086" s="5"/>
      <c r="IQ1086" s="5"/>
      <c r="IR1086" s="5"/>
      <c r="IS1086" s="5"/>
      <c r="IT1086" s="5"/>
      <c r="IU1086" s="5"/>
      <c r="IV1086" s="5"/>
    </row>
    <row r="1087" spans="1:256" ht="23.1" customHeight="1" x14ac:dyDescent="0.25">
      <c r="A1087" s="5"/>
      <c r="B1087" s="288"/>
      <c r="C1087" s="12"/>
      <c r="D1087" s="12"/>
      <c r="E1087" s="12"/>
      <c r="F1087" s="12"/>
      <c r="G1087" s="12"/>
      <c r="H1087" s="12"/>
      <c r="I1087" s="12"/>
      <c r="J1087" s="73"/>
      <c r="K1087" s="73"/>
      <c r="L1087" s="73"/>
      <c r="M1087" s="73"/>
      <c r="N1087" s="12"/>
      <c r="O1087" s="12"/>
      <c r="P1087" s="12"/>
      <c r="Q1087" s="12"/>
      <c r="R1087" s="12"/>
      <c r="S1087" s="12"/>
      <c r="T1087" s="12"/>
      <c r="U1087" s="5"/>
      <c r="V1087" s="5"/>
      <c r="W1087" s="5"/>
      <c r="X1087" s="5"/>
      <c r="Y1087" s="5"/>
      <c r="Z1087" s="5"/>
      <c r="AA1087" s="69"/>
      <c r="AB1087" s="69"/>
      <c r="AC1087" s="5"/>
      <c r="AD1087" s="88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  <c r="GO1087" s="5"/>
      <c r="GP1087" s="5"/>
      <c r="GQ1087" s="5"/>
      <c r="GR1087" s="5"/>
      <c r="GS1087" s="5"/>
      <c r="GT1087" s="5"/>
      <c r="GU1087" s="5"/>
      <c r="GV1087" s="5"/>
      <c r="GW1087" s="5"/>
      <c r="GX1087" s="5"/>
      <c r="GY1087" s="5"/>
      <c r="GZ1087" s="5"/>
      <c r="HA1087" s="5"/>
      <c r="HB1087" s="5"/>
      <c r="HC1087" s="5"/>
      <c r="HD1087" s="5"/>
      <c r="HE1087" s="5"/>
      <c r="HF1087" s="5"/>
      <c r="HG1087" s="5"/>
      <c r="HH1087" s="5"/>
      <c r="HI1087" s="5"/>
      <c r="HJ1087" s="5"/>
      <c r="HK1087" s="5"/>
      <c r="HL1087" s="5"/>
      <c r="HM1087" s="5"/>
      <c r="HN1087" s="5"/>
      <c r="HO1087" s="5"/>
      <c r="HP1087" s="5"/>
      <c r="HQ1087" s="5"/>
      <c r="HR1087" s="5"/>
      <c r="HS1087" s="5"/>
      <c r="HT1087" s="5"/>
      <c r="HU1087" s="5"/>
      <c r="HV1087" s="5"/>
      <c r="HW1087" s="5"/>
      <c r="HX1087" s="5"/>
      <c r="HY1087" s="5"/>
      <c r="HZ1087" s="5"/>
      <c r="IA1087" s="5"/>
      <c r="IB1087" s="5"/>
      <c r="IC1087" s="5"/>
      <c r="ID1087" s="5"/>
      <c r="IE1087" s="5"/>
      <c r="IF1087" s="5"/>
      <c r="IG1087" s="5"/>
      <c r="IH1087" s="5"/>
      <c r="II1087" s="5"/>
      <c r="IJ1087" s="5"/>
      <c r="IK1087" s="5"/>
      <c r="IL1087" s="5"/>
      <c r="IM1087" s="5"/>
      <c r="IN1087" s="5"/>
      <c r="IO1087" s="5"/>
      <c r="IP1087" s="5"/>
      <c r="IQ1087" s="5"/>
      <c r="IR1087" s="5"/>
      <c r="IS1087" s="5"/>
      <c r="IT1087" s="5"/>
      <c r="IU1087" s="5"/>
      <c r="IV1087" s="5"/>
    </row>
    <row r="1088" spans="1:256" ht="23.1" customHeight="1" x14ac:dyDescent="0.25">
      <c r="A1088" s="5"/>
      <c r="B1088" s="288"/>
      <c r="C1088" s="12"/>
      <c r="D1088" s="12"/>
      <c r="E1088" s="12"/>
      <c r="F1088" s="12"/>
      <c r="G1088" s="12"/>
      <c r="H1088" s="12"/>
      <c r="I1088" s="12"/>
      <c r="J1088" s="73"/>
      <c r="K1088" s="73"/>
      <c r="L1088" s="73"/>
      <c r="M1088" s="73"/>
      <c r="N1088" s="12"/>
      <c r="O1088" s="12"/>
      <c r="P1088" s="12"/>
      <c r="Q1088" s="12"/>
      <c r="R1088" s="12"/>
      <c r="S1088" s="12"/>
      <c r="T1088" s="12"/>
      <c r="U1088" s="5"/>
      <c r="V1088" s="5"/>
      <c r="W1088" s="5"/>
      <c r="X1088" s="5"/>
      <c r="Y1088" s="5"/>
      <c r="Z1088" s="5"/>
      <c r="AA1088" s="69"/>
      <c r="AB1088" s="69"/>
      <c r="AC1088" s="5"/>
      <c r="AD1088" s="88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5"/>
      <c r="HO1088" s="5"/>
      <c r="HP1088" s="5"/>
      <c r="HQ1088" s="5"/>
      <c r="HR1088" s="5"/>
      <c r="HS1088" s="5"/>
      <c r="HT1088" s="5"/>
      <c r="HU1088" s="5"/>
      <c r="HV1088" s="5"/>
      <c r="HW1088" s="5"/>
      <c r="HX1088" s="5"/>
      <c r="HY1088" s="5"/>
      <c r="HZ1088" s="5"/>
      <c r="IA1088" s="5"/>
      <c r="IB1088" s="5"/>
      <c r="IC1088" s="5"/>
      <c r="ID1088" s="5"/>
      <c r="IE1088" s="5"/>
      <c r="IF1088" s="5"/>
      <c r="IG1088" s="5"/>
      <c r="IH1088" s="5"/>
      <c r="II1088" s="5"/>
      <c r="IJ1088" s="5"/>
      <c r="IK1088" s="5"/>
      <c r="IL1088" s="5"/>
      <c r="IM1088" s="5"/>
      <c r="IN1088" s="5"/>
      <c r="IO1088" s="5"/>
      <c r="IP1088" s="5"/>
      <c r="IQ1088" s="5"/>
      <c r="IR1088" s="5"/>
      <c r="IS1088" s="5"/>
      <c r="IT1088" s="5"/>
      <c r="IU1088" s="5"/>
      <c r="IV1088" s="5"/>
    </row>
    <row r="1089" spans="1:256" ht="23.1" customHeight="1" x14ac:dyDescent="0.25">
      <c r="A1089" s="5"/>
      <c r="B1089" s="288"/>
      <c r="C1089" s="12"/>
      <c r="D1089" s="12"/>
      <c r="E1089" s="12"/>
      <c r="F1089" s="12"/>
      <c r="G1089" s="12"/>
      <c r="H1089" s="12"/>
      <c r="I1089" s="12"/>
      <c r="J1089" s="73"/>
      <c r="K1089" s="73"/>
      <c r="L1089" s="73"/>
      <c r="M1089" s="73"/>
      <c r="N1089" s="12"/>
      <c r="O1089" s="12"/>
      <c r="P1089" s="12"/>
      <c r="Q1089" s="12"/>
      <c r="R1089" s="12"/>
      <c r="S1089" s="12"/>
      <c r="T1089" s="12"/>
      <c r="U1089" s="5"/>
      <c r="V1089" s="5"/>
      <c r="W1089" s="5"/>
      <c r="X1089" s="5"/>
      <c r="Y1089" s="5"/>
      <c r="Z1089" s="5"/>
      <c r="AA1089" s="69"/>
      <c r="AB1089" s="69"/>
      <c r="AC1089" s="5"/>
      <c r="AD1089" s="88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  <c r="GO1089" s="5"/>
      <c r="GP1089" s="5"/>
      <c r="GQ1089" s="5"/>
      <c r="GR1089" s="5"/>
      <c r="GS1089" s="5"/>
      <c r="GT1089" s="5"/>
      <c r="GU1089" s="5"/>
      <c r="GV1089" s="5"/>
      <c r="GW1089" s="5"/>
      <c r="GX1089" s="5"/>
      <c r="GY1089" s="5"/>
      <c r="GZ1089" s="5"/>
      <c r="HA1089" s="5"/>
      <c r="HB1089" s="5"/>
      <c r="HC1089" s="5"/>
      <c r="HD1089" s="5"/>
      <c r="HE1089" s="5"/>
      <c r="HF1089" s="5"/>
      <c r="HG1089" s="5"/>
      <c r="HH1089" s="5"/>
      <c r="HI1089" s="5"/>
      <c r="HJ1089" s="5"/>
      <c r="HK1089" s="5"/>
      <c r="HL1089" s="5"/>
      <c r="HM1089" s="5"/>
      <c r="HN1089" s="5"/>
      <c r="HO1089" s="5"/>
      <c r="HP1089" s="5"/>
      <c r="HQ1089" s="5"/>
      <c r="HR1089" s="5"/>
      <c r="HS1089" s="5"/>
      <c r="HT1089" s="5"/>
      <c r="HU1089" s="5"/>
      <c r="HV1089" s="5"/>
      <c r="HW1089" s="5"/>
      <c r="HX1089" s="5"/>
      <c r="HY1089" s="5"/>
      <c r="HZ1089" s="5"/>
      <c r="IA1089" s="5"/>
      <c r="IB1089" s="5"/>
      <c r="IC1089" s="5"/>
      <c r="ID1089" s="5"/>
      <c r="IE1089" s="5"/>
      <c r="IF1089" s="5"/>
      <c r="IG1089" s="5"/>
      <c r="IH1089" s="5"/>
      <c r="II1089" s="5"/>
      <c r="IJ1089" s="5"/>
      <c r="IK1089" s="5"/>
      <c r="IL1089" s="5"/>
      <c r="IM1089" s="5"/>
      <c r="IN1089" s="5"/>
      <c r="IO1089" s="5"/>
      <c r="IP1089" s="5"/>
      <c r="IQ1089" s="5"/>
      <c r="IR1089" s="5"/>
      <c r="IS1089" s="5"/>
      <c r="IT1089" s="5"/>
      <c r="IU1089" s="5"/>
      <c r="IV1089" s="5"/>
    </row>
    <row r="1090" spans="1:256" ht="23.1" customHeight="1" x14ac:dyDescent="0.25">
      <c r="A1090" s="5"/>
      <c r="B1090" s="288"/>
      <c r="C1090" s="12"/>
      <c r="D1090" s="12"/>
      <c r="E1090" s="12"/>
      <c r="F1090" s="12"/>
      <c r="G1090" s="12"/>
      <c r="H1090" s="12"/>
      <c r="I1090" s="12"/>
      <c r="J1090" s="73"/>
      <c r="K1090" s="73"/>
      <c r="L1090" s="73"/>
      <c r="M1090" s="73"/>
      <c r="N1090" s="12"/>
      <c r="O1090" s="12"/>
      <c r="P1090" s="12"/>
      <c r="Q1090" s="12"/>
      <c r="R1090" s="12"/>
      <c r="S1090" s="12"/>
      <c r="T1090" s="12"/>
      <c r="U1090" s="5"/>
      <c r="V1090" s="5"/>
      <c r="W1090" s="5"/>
      <c r="X1090" s="5"/>
      <c r="Y1090" s="5"/>
      <c r="Z1090" s="5"/>
      <c r="AA1090" s="69"/>
      <c r="AB1090" s="69"/>
      <c r="AC1090" s="5"/>
      <c r="AD1090" s="88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  <c r="GO1090" s="5"/>
      <c r="GP1090" s="5"/>
      <c r="GQ1090" s="5"/>
      <c r="GR1090" s="5"/>
      <c r="GS1090" s="5"/>
      <c r="GT1090" s="5"/>
      <c r="GU1090" s="5"/>
      <c r="GV1090" s="5"/>
      <c r="GW1090" s="5"/>
      <c r="GX1090" s="5"/>
      <c r="GY1090" s="5"/>
      <c r="GZ1090" s="5"/>
      <c r="HA1090" s="5"/>
      <c r="HB1090" s="5"/>
      <c r="HC1090" s="5"/>
      <c r="HD1090" s="5"/>
      <c r="HE1090" s="5"/>
      <c r="HF1090" s="5"/>
      <c r="HG1090" s="5"/>
      <c r="HH1090" s="5"/>
      <c r="HI1090" s="5"/>
      <c r="HJ1090" s="5"/>
      <c r="HK1090" s="5"/>
      <c r="HL1090" s="5"/>
      <c r="HM1090" s="5"/>
      <c r="HN1090" s="5"/>
      <c r="HO1090" s="5"/>
      <c r="HP1090" s="5"/>
      <c r="HQ1090" s="5"/>
      <c r="HR1090" s="5"/>
      <c r="HS1090" s="5"/>
      <c r="HT1090" s="5"/>
      <c r="HU1090" s="5"/>
      <c r="HV1090" s="5"/>
      <c r="HW1090" s="5"/>
      <c r="HX1090" s="5"/>
      <c r="HY1090" s="5"/>
      <c r="HZ1090" s="5"/>
      <c r="IA1090" s="5"/>
      <c r="IB1090" s="5"/>
      <c r="IC1090" s="5"/>
      <c r="ID1090" s="5"/>
      <c r="IE1090" s="5"/>
      <c r="IF1090" s="5"/>
      <c r="IG1090" s="5"/>
      <c r="IH1090" s="5"/>
      <c r="II1090" s="5"/>
      <c r="IJ1090" s="5"/>
      <c r="IK1090" s="5"/>
      <c r="IL1090" s="5"/>
      <c r="IM1090" s="5"/>
      <c r="IN1090" s="5"/>
      <c r="IO1090" s="5"/>
      <c r="IP1090" s="5"/>
      <c r="IQ1090" s="5"/>
      <c r="IR1090" s="5"/>
      <c r="IS1090" s="5"/>
      <c r="IT1090" s="5"/>
      <c r="IU1090" s="5"/>
      <c r="IV1090" s="5"/>
    </row>
    <row r="1091" spans="1:256" ht="23.1" customHeight="1" x14ac:dyDescent="0.25">
      <c r="A1091" s="5"/>
      <c r="B1091" s="288"/>
      <c r="C1091" s="12"/>
      <c r="D1091" s="12"/>
      <c r="E1091" s="12"/>
      <c r="F1091" s="12"/>
      <c r="G1091" s="12"/>
      <c r="H1091" s="12"/>
      <c r="I1091" s="12"/>
      <c r="J1091" s="73"/>
      <c r="K1091" s="73"/>
      <c r="L1091" s="73"/>
      <c r="M1091" s="73"/>
      <c r="N1091" s="12"/>
      <c r="O1091" s="12"/>
      <c r="P1091" s="12"/>
      <c r="Q1091" s="12"/>
      <c r="R1091" s="12"/>
      <c r="S1091" s="12"/>
      <c r="T1091" s="12"/>
      <c r="U1091" s="5"/>
      <c r="V1091" s="5"/>
      <c r="W1091" s="5"/>
      <c r="X1091" s="5"/>
      <c r="Y1091" s="5"/>
      <c r="Z1091" s="5"/>
      <c r="AA1091" s="69"/>
      <c r="AB1091" s="69"/>
      <c r="AC1091" s="5"/>
      <c r="AD1091" s="88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  <c r="GO1091" s="5"/>
      <c r="GP1091" s="5"/>
      <c r="GQ1091" s="5"/>
      <c r="GR1091" s="5"/>
      <c r="GS1091" s="5"/>
      <c r="GT1091" s="5"/>
      <c r="GU1091" s="5"/>
      <c r="GV1091" s="5"/>
      <c r="GW1091" s="5"/>
      <c r="GX1091" s="5"/>
      <c r="GY1091" s="5"/>
      <c r="GZ1091" s="5"/>
      <c r="HA1091" s="5"/>
      <c r="HB1091" s="5"/>
      <c r="HC1091" s="5"/>
      <c r="HD1091" s="5"/>
      <c r="HE1091" s="5"/>
      <c r="HF1091" s="5"/>
      <c r="HG1091" s="5"/>
      <c r="HH1091" s="5"/>
      <c r="HI1091" s="5"/>
      <c r="HJ1091" s="5"/>
      <c r="HK1091" s="5"/>
      <c r="HL1091" s="5"/>
      <c r="HM1091" s="5"/>
      <c r="HN1091" s="5"/>
      <c r="HO1091" s="5"/>
      <c r="HP1091" s="5"/>
      <c r="HQ1091" s="5"/>
      <c r="HR1091" s="5"/>
      <c r="HS1091" s="5"/>
      <c r="HT1091" s="5"/>
      <c r="HU1091" s="5"/>
      <c r="HV1091" s="5"/>
      <c r="HW1091" s="5"/>
      <c r="HX1091" s="5"/>
      <c r="HY1091" s="5"/>
      <c r="HZ1091" s="5"/>
      <c r="IA1091" s="5"/>
      <c r="IB1091" s="5"/>
      <c r="IC1091" s="5"/>
      <c r="ID1091" s="5"/>
      <c r="IE1091" s="5"/>
      <c r="IF1091" s="5"/>
      <c r="IG1091" s="5"/>
      <c r="IH1091" s="5"/>
      <c r="II1091" s="5"/>
      <c r="IJ1091" s="5"/>
      <c r="IK1091" s="5"/>
      <c r="IL1091" s="5"/>
      <c r="IM1091" s="5"/>
      <c r="IN1091" s="5"/>
      <c r="IO1091" s="5"/>
      <c r="IP1091" s="5"/>
      <c r="IQ1091" s="5"/>
      <c r="IR1091" s="5"/>
      <c r="IS1091" s="5"/>
      <c r="IT1091" s="5"/>
      <c r="IU1091" s="5"/>
      <c r="IV1091" s="5"/>
    </row>
    <row r="1092" spans="1:256" ht="23.1" customHeight="1" x14ac:dyDescent="0.25">
      <c r="A1092" s="5"/>
      <c r="B1092" s="288"/>
      <c r="C1092" s="12"/>
      <c r="D1092" s="12"/>
      <c r="E1092" s="12"/>
      <c r="F1092" s="12"/>
      <c r="G1092" s="12"/>
      <c r="H1092" s="12"/>
      <c r="I1092" s="12"/>
      <c r="J1092" s="73"/>
      <c r="K1092" s="73"/>
      <c r="L1092" s="73"/>
      <c r="M1092" s="73"/>
      <c r="N1092" s="12"/>
      <c r="O1092" s="12"/>
      <c r="P1092" s="12"/>
      <c r="Q1092" s="12"/>
      <c r="R1092" s="12"/>
      <c r="S1092" s="12"/>
      <c r="T1092" s="12"/>
      <c r="U1092" s="5"/>
      <c r="V1092" s="5"/>
      <c r="W1092" s="5"/>
      <c r="X1092" s="5"/>
      <c r="Y1092" s="5"/>
      <c r="Z1092" s="5"/>
      <c r="AA1092" s="69"/>
      <c r="AB1092" s="69"/>
      <c r="AC1092" s="5"/>
      <c r="AD1092" s="88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  <c r="GO1092" s="5"/>
      <c r="GP1092" s="5"/>
      <c r="GQ1092" s="5"/>
      <c r="GR1092" s="5"/>
      <c r="GS1092" s="5"/>
      <c r="GT1092" s="5"/>
      <c r="GU1092" s="5"/>
      <c r="GV1092" s="5"/>
      <c r="GW1092" s="5"/>
      <c r="GX1092" s="5"/>
      <c r="GY1092" s="5"/>
      <c r="GZ1092" s="5"/>
      <c r="HA1092" s="5"/>
      <c r="HB1092" s="5"/>
      <c r="HC1092" s="5"/>
      <c r="HD1092" s="5"/>
      <c r="HE1092" s="5"/>
      <c r="HF1092" s="5"/>
      <c r="HG1092" s="5"/>
      <c r="HH1092" s="5"/>
      <c r="HI1092" s="5"/>
      <c r="HJ1092" s="5"/>
      <c r="HK1092" s="5"/>
      <c r="HL1092" s="5"/>
      <c r="HM1092" s="5"/>
      <c r="HN1092" s="5"/>
      <c r="HO1092" s="5"/>
      <c r="HP1092" s="5"/>
      <c r="HQ1092" s="5"/>
      <c r="HR1092" s="5"/>
      <c r="HS1092" s="5"/>
      <c r="HT1092" s="5"/>
      <c r="HU1092" s="5"/>
      <c r="HV1092" s="5"/>
      <c r="HW1092" s="5"/>
      <c r="HX1092" s="5"/>
      <c r="HY1092" s="5"/>
      <c r="HZ1092" s="5"/>
      <c r="IA1092" s="5"/>
      <c r="IB1092" s="5"/>
      <c r="IC1092" s="5"/>
      <c r="ID1092" s="5"/>
      <c r="IE1092" s="5"/>
      <c r="IF1092" s="5"/>
      <c r="IG1092" s="5"/>
      <c r="IH1092" s="5"/>
      <c r="II1092" s="5"/>
      <c r="IJ1092" s="5"/>
      <c r="IK1092" s="5"/>
      <c r="IL1092" s="5"/>
      <c r="IM1092" s="5"/>
      <c r="IN1092" s="5"/>
      <c r="IO1092" s="5"/>
      <c r="IP1092" s="5"/>
      <c r="IQ1092" s="5"/>
      <c r="IR1092" s="5"/>
      <c r="IS1092" s="5"/>
      <c r="IT1092" s="5"/>
      <c r="IU1092" s="5"/>
      <c r="IV1092" s="5"/>
    </row>
    <row r="1093" spans="1:256" ht="23.1" customHeight="1" x14ac:dyDescent="0.25">
      <c r="A1093" s="5"/>
      <c r="B1093" s="288"/>
      <c r="C1093" s="12"/>
      <c r="D1093" s="12"/>
      <c r="E1093" s="12"/>
      <c r="F1093" s="12"/>
      <c r="G1093" s="12"/>
      <c r="H1093" s="12"/>
      <c r="I1093" s="12"/>
      <c r="J1093" s="73"/>
      <c r="K1093" s="73"/>
      <c r="L1093" s="73"/>
      <c r="M1093" s="73"/>
      <c r="N1093" s="12"/>
      <c r="O1093" s="12"/>
      <c r="P1093" s="12"/>
      <c r="Q1093" s="12"/>
      <c r="R1093" s="12"/>
      <c r="S1093" s="12"/>
      <c r="T1093" s="12"/>
      <c r="U1093" s="5"/>
      <c r="V1093" s="5"/>
      <c r="W1093" s="5"/>
      <c r="X1093" s="5"/>
      <c r="Y1093" s="5"/>
      <c r="Z1093" s="5"/>
      <c r="AA1093" s="69"/>
      <c r="AB1093" s="69"/>
      <c r="AC1093" s="5"/>
      <c r="AD1093" s="88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  <c r="GO1093" s="5"/>
      <c r="GP1093" s="5"/>
      <c r="GQ1093" s="5"/>
      <c r="GR1093" s="5"/>
      <c r="GS1093" s="5"/>
      <c r="GT1093" s="5"/>
      <c r="GU1093" s="5"/>
      <c r="GV1093" s="5"/>
      <c r="GW1093" s="5"/>
      <c r="GX1093" s="5"/>
      <c r="GY1093" s="5"/>
      <c r="GZ1093" s="5"/>
      <c r="HA1093" s="5"/>
      <c r="HB1093" s="5"/>
      <c r="HC1093" s="5"/>
      <c r="HD1093" s="5"/>
      <c r="HE1093" s="5"/>
      <c r="HF1093" s="5"/>
      <c r="HG1093" s="5"/>
      <c r="HH1093" s="5"/>
      <c r="HI1093" s="5"/>
      <c r="HJ1093" s="5"/>
      <c r="HK1093" s="5"/>
      <c r="HL1093" s="5"/>
      <c r="HM1093" s="5"/>
      <c r="HN1093" s="5"/>
      <c r="HO1093" s="5"/>
      <c r="HP1093" s="5"/>
      <c r="HQ1093" s="5"/>
      <c r="HR1093" s="5"/>
      <c r="HS1093" s="5"/>
      <c r="HT1093" s="5"/>
      <c r="HU1093" s="5"/>
      <c r="HV1093" s="5"/>
      <c r="HW1093" s="5"/>
      <c r="HX1093" s="5"/>
      <c r="HY1093" s="5"/>
      <c r="HZ1093" s="5"/>
      <c r="IA1093" s="5"/>
      <c r="IB1093" s="5"/>
      <c r="IC1093" s="5"/>
      <c r="ID1093" s="5"/>
      <c r="IE1093" s="5"/>
      <c r="IF1093" s="5"/>
      <c r="IG1093" s="5"/>
      <c r="IH1093" s="5"/>
      <c r="II1093" s="5"/>
      <c r="IJ1093" s="5"/>
      <c r="IK1093" s="5"/>
      <c r="IL1093" s="5"/>
      <c r="IM1093" s="5"/>
      <c r="IN1093" s="5"/>
      <c r="IO1093" s="5"/>
      <c r="IP1093" s="5"/>
      <c r="IQ1093" s="5"/>
      <c r="IR1093" s="5"/>
      <c r="IS1093" s="5"/>
      <c r="IT1093" s="5"/>
      <c r="IU1093" s="5"/>
      <c r="IV1093" s="5"/>
    </row>
    <row r="1094" spans="1:256" ht="23.1" customHeight="1" x14ac:dyDescent="0.25">
      <c r="A1094" s="5"/>
      <c r="B1094" s="288"/>
      <c r="C1094" s="12"/>
      <c r="D1094" s="12"/>
      <c r="E1094" s="12"/>
      <c r="F1094" s="12"/>
      <c r="G1094" s="12"/>
      <c r="H1094" s="12"/>
      <c r="I1094" s="12"/>
      <c r="J1094" s="73"/>
      <c r="K1094" s="73"/>
      <c r="L1094" s="73"/>
      <c r="M1094" s="73"/>
      <c r="N1094" s="12"/>
      <c r="O1094" s="12"/>
      <c r="P1094" s="12"/>
      <c r="Q1094" s="12"/>
      <c r="R1094" s="12"/>
      <c r="S1094" s="12"/>
      <c r="T1094" s="12"/>
      <c r="U1094" s="5"/>
      <c r="V1094" s="5"/>
      <c r="W1094" s="5"/>
      <c r="X1094" s="5"/>
      <c r="Y1094" s="5"/>
      <c r="Z1094" s="5"/>
      <c r="AA1094" s="69"/>
      <c r="AB1094" s="69"/>
      <c r="AC1094" s="5"/>
      <c r="AD1094" s="88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  <c r="GO1094" s="5"/>
      <c r="GP1094" s="5"/>
      <c r="GQ1094" s="5"/>
      <c r="GR1094" s="5"/>
      <c r="GS1094" s="5"/>
      <c r="GT1094" s="5"/>
      <c r="GU1094" s="5"/>
      <c r="GV1094" s="5"/>
      <c r="GW1094" s="5"/>
      <c r="GX1094" s="5"/>
      <c r="GY1094" s="5"/>
      <c r="GZ1094" s="5"/>
      <c r="HA1094" s="5"/>
      <c r="HB1094" s="5"/>
      <c r="HC1094" s="5"/>
      <c r="HD1094" s="5"/>
      <c r="HE1094" s="5"/>
      <c r="HF1094" s="5"/>
      <c r="HG1094" s="5"/>
      <c r="HH1094" s="5"/>
      <c r="HI1094" s="5"/>
      <c r="HJ1094" s="5"/>
      <c r="HK1094" s="5"/>
      <c r="HL1094" s="5"/>
      <c r="HM1094" s="5"/>
      <c r="HN1094" s="5"/>
      <c r="HO1094" s="5"/>
      <c r="HP1094" s="5"/>
      <c r="HQ1094" s="5"/>
      <c r="HR1094" s="5"/>
      <c r="HS1094" s="5"/>
      <c r="HT1094" s="5"/>
      <c r="HU1094" s="5"/>
      <c r="HV1094" s="5"/>
      <c r="HW1094" s="5"/>
      <c r="HX1094" s="5"/>
      <c r="HY1094" s="5"/>
      <c r="HZ1094" s="5"/>
      <c r="IA1094" s="5"/>
      <c r="IB1094" s="5"/>
      <c r="IC1094" s="5"/>
      <c r="ID1094" s="5"/>
      <c r="IE1094" s="5"/>
      <c r="IF1094" s="5"/>
      <c r="IG1094" s="5"/>
      <c r="IH1094" s="5"/>
      <c r="II1094" s="5"/>
      <c r="IJ1094" s="5"/>
      <c r="IK1094" s="5"/>
      <c r="IL1094" s="5"/>
      <c r="IM1094" s="5"/>
      <c r="IN1094" s="5"/>
      <c r="IO1094" s="5"/>
      <c r="IP1094" s="5"/>
      <c r="IQ1094" s="5"/>
      <c r="IR1094" s="5"/>
      <c r="IS1094" s="5"/>
      <c r="IT1094" s="5"/>
      <c r="IU1094" s="5"/>
      <c r="IV1094" s="5"/>
    </row>
    <row r="1095" spans="1:256" ht="23.1" customHeight="1" x14ac:dyDescent="0.25">
      <c r="A1095" s="5"/>
      <c r="B1095" s="288"/>
      <c r="C1095" s="12"/>
      <c r="D1095" s="12"/>
      <c r="E1095" s="12"/>
      <c r="F1095" s="12"/>
      <c r="G1095" s="12"/>
      <c r="H1095" s="12"/>
      <c r="I1095" s="12"/>
      <c r="J1095" s="73"/>
      <c r="K1095" s="73"/>
      <c r="L1095" s="73"/>
      <c r="M1095" s="73"/>
      <c r="N1095" s="12"/>
      <c r="O1095" s="12"/>
      <c r="P1095" s="12"/>
      <c r="Q1095" s="12"/>
      <c r="R1095" s="12"/>
      <c r="S1095" s="12"/>
      <c r="T1095" s="12"/>
      <c r="U1095" s="5"/>
      <c r="V1095" s="5"/>
      <c r="W1095" s="5"/>
      <c r="X1095" s="5"/>
      <c r="Y1095" s="5"/>
      <c r="Z1095" s="5"/>
      <c r="AA1095" s="69"/>
      <c r="AB1095" s="69"/>
      <c r="AC1095" s="5"/>
      <c r="AD1095" s="88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  <c r="GO1095" s="5"/>
      <c r="GP1095" s="5"/>
      <c r="GQ1095" s="5"/>
      <c r="GR1095" s="5"/>
      <c r="GS1095" s="5"/>
      <c r="GT1095" s="5"/>
      <c r="GU1095" s="5"/>
      <c r="GV1095" s="5"/>
      <c r="GW1095" s="5"/>
      <c r="GX1095" s="5"/>
      <c r="GY1095" s="5"/>
      <c r="GZ1095" s="5"/>
      <c r="HA1095" s="5"/>
      <c r="HB1095" s="5"/>
      <c r="HC1095" s="5"/>
      <c r="HD1095" s="5"/>
      <c r="HE1095" s="5"/>
      <c r="HF1095" s="5"/>
      <c r="HG1095" s="5"/>
      <c r="HH1095" s="5"/>
      <c r="HI1095" s="5"/>
      <c r="HJ1095" s="5"/>
      <c r="HK1095" s="5"/>
      <c r="HL1095" s="5"/>
      <c r="HM1095" s="5"/>
      <c r="HN1095" s="5"/>
      <c r="HO1095" s="5"/>
      <c r="HP1095" s="5"/>
      <c r="HQ1095" s="5"/>
      <c r="HR1095" s="5"/>
      <c r="HS1095" s="5"/>
      <c r="HT1095" s="5"/>
      <c r="HU1095" s="5"/>
      <c r="HV1095" s="5"/>
      <c r="HW1095" s="5"/>
      <c r="HX1095" s="5"/>
      <c r="HY1095" s="5"/>
      <c r="HZ1095" s="5"/>
      <c r="IA1095" s="5"/>
      <c r="IB1095" s="5"/>
      <c r="IC1095" s="5"/>
      <c r="ID1095" s="5"/>
      <c r="IE1095" s="5"/>
      <c r="IF1095" s="5"/>
      <c r="IG1095" s="5"/>
      <c r="IH1095" s="5"/>
      <c r="II1095" s="5"/>
      <c r="IJ1095" s="5"/>
      <c r="IK1095" s="5"/>
      <c r="IL1095" s="5"/>
      <c r="IM1095" s="5"/>
      <c r="IN1095" s="5"/>
      <c r="IO1095" s="5"/>
      <c r="IP1095" s="5"/>
      <c r="IQ1095" s="5"/>
      <c r="IR1095" s="5"/>
      <c r="IS1095" s="5"/>
      <c r="IT1095" s="5"/>
      <c r="IU1095" s="5"/>
      <c r="IV1095" s="5"/>
    </row>
    <row r="1096" spans="1:256" ht="23.1" customHeight="1" x14ac:dyDescent="0.25">
      <c r="A1096" s="5"/>
      <c r="B1096" s="288"/>
      <c r="C1096" s="12"/>
      <c r="D1096" s="12"/>
      <c r="E1096" s="12"/>
      <c r="F1096" s="12"/>
      <c r="G1096" s="12"/>
      <c r="H1096" s="12"/>
      <c r="I1096" s="12"/>
      <c r="J1096" s="73"/>
      <c r="K1096" s="73"/>
      <c r="L1096" s="73"/>
      <c r="M1096" s="73"/>
      <c r="N1096" s="12"/>
      <c r="O1096" s="12"/>
      <c r="P1096" s="12"/>
      <c r="Q1096" s="12"/>
      <c r="R1096" s="12"/>
      <c r="S1096" s="12"/>
      <c r="T1096" s="12"/>
      <c r="U1096" s="5"/>
      <c r="V1096" s="5"/>
      <c r="W1096" s="5"/>
      <c r="X1096" s="5"/>
      <c r="Y1096" s="5"/>
      <c r="Z1096" s="5"/>
      <c r="AA1096" s="69"/>
      <c r="AB1096" s="69"/>
      <c r="AC1096" s="5"/>
      <c r="AD1096" s="88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  <c r="GO1096" s="5"/>
      <c r="GP1096" s="5"/>
      <c r="GQ1096" s="5"/>
      <c r="GR1096" s="5"/>
      <c r="GS1096" s="5"/>
      <c r="GT1096" s="5"/>
      <c r="GU1096" s="5"/>
      <c r="GV1096" s="5"/>
      <c r="GW1096" s="5"/>
      <c r="GX1096" s="5"/>
      <c r="GY1096" s="5"/>
      <c r="GZ1096" s="5"/>
      <c r="HA1096" s="5"/>
      <c r="HB1096" s="5"/>
      <c r="HC1096" s="5"/>
      <c r="HD1096" s="5"/>
      <c r="HE1096" s="5"/>
      <c r="HF1096" s="5"/>
      <c r="HG1096" s="5"/>
      <c r="HH1096" s="5"/>
      <c r="HI1096" s="5"/>
      <c r="HJ1096" s="5"/>
      <c r="HK1096" s="5"/>
      <c r="HL1096" s="5"/>
      <c r="HM1096" s="5"/>
      <c r="HN1096" s="5"/>
      <c r="HO1096" s="5"/>
      <c r="HP1096" s="5"/>
      <c r="HQ1096" s="5"/>
      <c r="HR1096" s="5"/>
      <c r="HS1096" s="5"/>
      <c r="HT1096" s="5"/>
      <c r="HU1096" s="5"/>
      <c r="HV1096" s="5"/>
      <c r="HW1096" s="5"/>
      <c r="HX1096" s="5"/>
      <c r="HY1096" s="5"/>
      <c r="HZ1096" s="5"/>
      <c r="IA1096" s="5"/>
      <c r="IB1096" s="5"/>
      <c r="IC1096" s="5"/>
      <c r="ID1096" s="5"/>
      <c r="IE1096" s="5"/>
      <c r="IF1096" s="5"/>
      <c r="IG1096" s="5"/>
      <c r="IH1096" s="5"/>
      <c r="II1096" s="5"/>
      <c r="IJ1096" s="5"/>
      <c r="IK1096" s="5"/>
      <c r="IL1096" s="5"/>
      <c r="IM1096" s="5"/>
      <c r="IN1096" s="5"/>
      <c r="IO1096" s="5"/>
      <c r="IP1096" s="5"/>
      <c r="IQ1096" s="5"/>
      <c r="IR1096" s="5"/>
      <c r="IS1096" s="5"/>
      <c r="IT1096" s="5"/>
      <c r="IU1096" s="5"/>
      <c r="IV1096" s="5"/>
    </row>
    <row r="1097" spans="1:256" ht="23.1" customHeight="1" x14ac:dyDescent="0.25">
      <c r="A1097" s="5"/>
      <c r="B1097" s="288"/>
      <c r="C1097" s="12"/>
      <c r="D1097" s="12"/>
      <c r="E1097" s="12"/>
      <c r="F1097" s="12"/>
      <c r="G1097" s="12"/>
      <c r="H1097" s="12"/>
      <c r="I1097" s="12"/>
      <c r="J1097" s="73"/>
      <c r="K1097" s="73"/>
      <c r="L1097" s="73"/>
      <c r="M1097" s="73"/>
      <c r="N1097" s="12"/>
      <c r="O1097" s="12"/>
      <c r="P1097" s="12"/>
      <c r="Q1097" s="12"/>
      <c r="R1097" s="12"/>
      <c r="S1097" s="12"/>
      <c r="T1097" s="12"/>
      <c r="U1097" s="5"/>
      <c r="V1097" s="5"/>
      <c r="W1097" s="5"/>
      <c r="X1097" s="5"/>
      <c r="Y1097" s="5"/>
      <c r="Z1097" s="5"/>
      <c r="AA1097" s="69"/>
      <c r="AB1097" s="69"/>
      <c r="AC1097" s="5"/>
      <c r="AD1097" s="88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  <c r="GO1097" s="5"/>
      <c r="GP1097" s="5"/>
      <c r="GQ1097" s="5"/>
      <c r="GR1097" s="5"/>
      <c r="GS1097" s="5"/>
      <c r="GT1097" s="5"/>
      <c r="GU1097" s="5"/>
      <c r="GV1097" s="5"/>
      <c r="GW1097" s="5"/>
      <c r="GX1097" s="5"/>
      <c r="GY1097" s="5"/>
      <c r="GZ1097" s="5"/>
      <c r="HA1097" s="5"/>
      <c r="HB1097" s="5"/>
      <c r="HC1097" s="5"/>
      <c r="HD1097" s="5"/>
      <c r="HE1097" s="5"/>
      <c r="HF1097" s="5"/>
      <c r="HG1097" s="5"/>
      <c r="HH1097" s="5"/>
      <c r="HI1097" s="5"/>
      <c r="HJ1097" s="5"/>
      <c r="HK1097" s="5"/>
      <c r="HL1097" s="5"/>
      <c r="HM1097" s="5"/>
      <c r="HN1097" s="5"/>
      <c r="HO1097" s="5"/>
      <c r="HP1097" s="5"/>
      <c r="HQ1097" s="5"/>
      <c r="HR1097" s="5"/>
      <c r="HS1097" s="5"/>
      <c r="HT1097" s="5"/>
      <c r="HU1097" s="5"/>
      <c r="HV1097" s="5"/>
      <c r="HW1097" s="5"/>
      <c r="HX1097" s="5"/>
      <c r="HY1097" s="5"/>
      <c r="HZ1097" s="5"/>
      <c r="IA1097" s="5"/>
      <c r="IB1097" s="5"/>
      <c r="IC1097" s="5"/>
      <c r="ID1097" s="5"/>
      <c r="IE1097" s="5"/>
      <c r="IF1097" s="5"/>
      <c r="IG1097" s="5"/>
      <c r="IH1097" s="5"/>
      <c r="II1097" s="5"/>
      <c r="IJ1097" s="5"/>
      <c r="IK1097" s="5"/>
      <c r="IL1097" s="5"/>
      <c r="IM1097" s="5"/>
      <c r="IN1097" s="5"/>
      <c r="IO1097" s="5"/>
      <c r="IP1097" s="5"/>
      <c r="IQ1097" s="5"/>
      <c r="IR1097" s="5"/>
      <c r="IS1097" s="5"/>
      <c r="IT1097" s="5"/>
      <c r="IU1097" s="5"/>
      <c r="IV1097" s="5"/>
    </row>
    <row r="1098" spans="1:256" ht="23.1" customHeight="1" x14ac:dyDescent="0.25">
      <c r="A1098" s="5"/>
      <c r="B1098" s="288"/>
      <c r="C1098" s="12"/>
      <c r="D1098" s="12"/>
      <c r="E1098" s="12"/>
      <c r="F1098" s="12"/>
      <c r="G1098" s="12"/>
      <c r="H1098" s="12"/>
      <c r="I1098" s="12"/>
      <c r="J1098" s="73"/>
      <c r="K1098" s="73"/>
      <c r="L1098" s="73"/>
      <c r="M1098" s="73"/>
      <c r="N1098" s="12"/>
      <c r="O1098" s="12"/>
      <c r="P1098" s="12"/>
      <c r="Q1098" s="12"/>
      <c r="R1098" s="12"/>
      <c r="S1098" s="12"/>
      <c r="T1098" s="12"/>
      <c r="U1098" s="5"/>
      <c r="V1098" s="5"/>
      <c r="W1098" s="5"/>
      <c r="X1098" s="5"/>
      <c r="Y1098" s="5"/>
      <c r="Z1098" s="5"/>
      <c r="AA1098" s="69"/>
      <c r="AB1098" s="69"/>
      <c r="AC1098" s="5"/>
      <c r="AD1098" s="88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  <c r="GO1098" s="5"/>
      <c r="GP1098" s="5"/>
      <c r="GQ1098" s="5"/>
      <c r="GR1098" s="5"/>
      <c r="GS1098" s="5"/>
      <c r="GT1098" s="5"/>
      <c r="GU1098" s="5"/>
      <c r="GV1098" s="5"/>
      <c r="GW1098" s="5"/>
      <c r="GX1098" s="5"/>
      <c r="GY1098" s="5"/>
      <c r="GZ1098" s="5"/>
      <c r="HA1098" s="5"/>
      <c r="HB1098" s="5"/>
      <c r="HC1098" s="5"/>
      <c r="HD1098" s="5"/>
      <c r="HE1098" s="5"/>
      <c r="HF1098" s="5"/>
      <c r="HG1098" s="5"/>
      <c r="HH1098" s="5"/>
      <c r="HI1098" s="5"/>
      <c r="HJ1098" s="5"/>
      <c r="HK1098" s="5"/>
      <c r="HL1098" s="5"/>
      <c r="HM1098" s="5"/>
      <c r="HN1098" s="5"/>
      <c r="HO1098" s="5"/>
      <c r="HP1098" s="5"/>
      <c r="HQ1098" s="5"/>
      <c r="HR1098" s="5"/>
      <c r="HS1098" s="5"/>
      <c r="HT1098" s="5"/>
      <c r="HU1098" s="5"/>
      <c r="HV1098" s="5"/>
      <c r="HW1098" s="5"/>
      <c r="HX1098" s="5"/>
      <c r="HY1098" s="5"/>
      <c r="HZ1098" s="5"/>
      <c r="IA1098" s="5"/>
      <c r="IB1098" s="5"/>
      <c r="IC1098" s="5"/>
      <c r="ID1098" s="5"/>
      <c r="IE1098" s="5"/>
      <c r="IF1098" s="5"/>
      <c r="IG1098" s="5"/>
      <c r="IH1098" s="5"/>
      <c r="II1098" s="5"/>
      <c r="IJ1098" s="5"/>
      <c r="IK1098" s="5"/>
      <c r="IL1098" s="5"/>
      <c r="IM1098" s="5"/>
      <c r="IN1098" s="5"/>
      <c r="IO1098" s="5"/>
      <c r="IP1098" s="5"/>
      <c r="IQ1098" s="5"/>
      <c r="IR1098" s="5"/>
      <c r="IS1098" s="5"/>
      <c r="IT1098" s="5"/>
      <c r="IU1098" s="5"/>
      <c r="IV1098" s="5"/>
    </row>
    <row r="1099" spans="1:256" ht="23.1" customHeight="1" x14ac:dyDescent="0.25">
      <c r="A1099" s="5"/>
      <c r="B1099" s="288"/>
      <c r="C1099" s="12"/>
      <c r="D1099" s="12"/>
      <c r="E1099" s="12"/>
      <c r="F1099" s="12"/>
      <c r="G1099" s="12"/>
      <c r="H1099" s="12"/>
      <c r="I1099" s="12"/>
      <c r="J1099" s="73"/>
      <c r="K1099" s="73"/>
      <c r="L1099" s="73"/>
      <c r="M1099" s="73"/>
      <c r="N1099" s="12"/>
      <c r="O1099" s="12"/>
      <c r="P1099" s="12"/>
      <c r="Q1099" s="12"/>
      <c r="R1099" s="12"/>
      <c r="S1099" s="12"/>
      <c r="T1099" s="12"/>
      <c r="U1099" s="5"/>
      <c r="V1099" s="5"/>
      <c r="W1099" s="5"/>
      <c r="X1099" s="5"/>
      <c r="Y1099" s="5"/>
      <c r="Z1099" s="5"/>
      <c r="AA1099" s="69"/>
      <c r="AB1099" s="69"/>
      <c r="AC1099" s="5"/>
      <c r="AD1099" s="88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  <c r="GO1099" s="5"/>
      <c r="GP1099" s="5"/>
      <c r="GQ1099" s="5"/>
      <c r="GR1099" s="5"/>
      <c r="GS1099" s="5"/>
      <c r="GT1099" s="5"/>
      <c r="GU1099" s="5"/>
      <c r="GV1099" s="5"/>
      <c r="GW1099" s="5"/>
      <c r="GX1099" s="5"/>
      <c r="GY1099" s="5"/>
      <c r="GZ1099" s="5"/>
      <c r="HA1099" s="5"/>
      <c r="HB1099" s="5"/>
      <c r="HC1099" s="5"/>
      <c r="HD1099" s="5"/>
      <c r="HE1099" s="5"/>
      <c r="HF1099" s="5"/>
      <c r="HG1099" s="5"/>
      <c r="HH1099" s="5"/>
      <c r="HI1099" s="5"/>
      <c r="HJ1099" s="5"/>
      <c r="HK1099" s="5"/>
      <c r="HL1099" s="5"/>
      <c r="HM1099" s="5"/>
      <c r="HN1099" s="5"/>
      <c r="HO1099" s="5"/>
      <c r="HP1099" s="5"/>
      <c r="HQ1099" s="5"/>
      <c r="HR1099" s="5"/>
      <c r="HS1099" s="5"/>
      <c r="HT1099" s="5"/>
      <c r="HU1099" s="5"/>
      <c r="HV1099" s="5"/>
      <c r="HW1099" s="5"/>
      <c r="HX1099" s="5"/>
      <c r="HY1099" s="5"/>
      <c r="HZ1099" s="5"/>
      <c r="IA1099" s="5"/>
      <c r="IB1099" s="5"/>
      <c r="IC1099" s="5"/>
      <c r="ID1099" s="5"/>
      <c r="IE1099" s="5"/>
      <c r="IF1099" s="5"/>
      <c r="IG1099" s="5"/>
      <c r="IH1099" s="5"/>
      <c r="II1099" s="5"/>
      <c r="IJ1099" s="5"/>
      <c r="IK1099" s="5"/>
      <c r="IL1099" s="5"/>
      <c r="IM1099" s="5"/>
      <c r="IN1099" s="5"/>
      <c r="IO1099" s="5"/>
      <c r="IP1099" s="5"/>
      <c r="IQ1099" s="5"/>
      <c r="IR1099" s="5"/>
      <c r="IS1099" s="5"/>
      <c r="IT1099" s="5"/>
      <c r="IU1099" s="5"/>
      <c r="IV1099" s="5"/>
    </row>
    <row r="1100" spans="1:256" ht="23.1" customHeight="1" x14ac:dyDescent="0.25">
      <c r="A1100" s="5"/>
      <c r="B1100" s="288"/>
      <c r="C1100" s="12"/>
      <c r="D1100" s="12"/>
      <c r="E1100" s="12"/>
      <c r="F1100" s="12"/>
      <c r="G1100" s="12"/>
      <c r="H1100" s="12"/>
      <c r="I1100" s="12"/>
      <c r="J1100" s="73"/>
      <c r="K1100" s="73"/>
      <c r="L1100" s="73"/>
      <c r="M1100" s="73"/>
      <c r="N1100" s="12"/>
      <c r="O1100" s="12"/>
      <c r="P1100" s="12"/>
      <c r="Q1100" s="12"/>
      <c r="R1100" s="12"/>
      <c r="S1100" s="12"/>
      <c r="T1100" s="12"/>
      <c r="U1100" s="5"/>
      <c r="V1100" s="5"/>
      <c r="W1100" s="5"/>
      <c r="X1100" s="5"/>
      <c r="Y1100" s="5"/>
      <c r="Z1100" s="5"/>
      <c r="AA1100" s="69"/>
      <c r="AB1100" s="69"/>
      <c r="AC1100" s="5"/>
      <c r="AD1100" s="88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  <c r="GO1100" s="5"/>
      <c r="GP1100" s="5"/>
      <c r="GQ1100" s="5"/>
      <c r="GR1100" s="5"/>
      <c r="GS1100" s="5"/>
      <c r="GT1100" s="5"/>
      <c r="GU1100" s="5"/>
      <c r="GV1100" s="5"/>
      <c r="GW1100" s="5"/>
      <c r="GX1100" s="5"/>
      <c r="GY1100" s="5"/>
      <c r="GZ1100" s="5"/>
      <c r="HA1100" s="5"/>
      <c r="HB1100" s="5"/>
      <c r="HC1100" s="5"/>
      <c r="HD1100" s="5"/>
      <c r="HE1100" s="5"/>
      <c r="HF1100" s="5"/>
      <c r="HG1100" s="5"/>
      <c r="HH1100" s="5"/>
      <c r="HI1100" s="5"/>
      <c r="HJ1100" s="5"/>
      <c r="HK1100" s="5"/>
      <c r="HL1100" s="5"/>
      <c r="HM1100" s="5"/>
      <c r="HN1100" s="5"/>
      <c r="HO1100" s="5"/>
      <c r="HP1100" s="5"/>
      <c r="HQ1100" s="5"/>
      <c r="HR1100" s="5"/>
      <c r="HS1100" s="5"/>
      <c r="HT1100" s="5"/>
      <c r="HU1100" s="5"/>
      <c r="HV1100" s="5"/>
      <c r="HW1100" s="5"/>
      <c r="HX1100" s="5"/>
      <c r="HY1100" s="5"/>
      <c r="HZ1100" s="5"/>
      <c r="IA1100" s="5"/>
      <c r="IB1100" s="5"/>
      <c r="IC1100" s="5"/>
      <c r="ID1100" s="5"/>
      <c r="IE1100" s="5"/>
      <c r="IF1100" s="5"/>
      <c r="IG1100" s="5"/>
      <c r="IH1100" s="5"/>
      <c r="II1100" s="5"/>
      <c r="IJ1100" s="5"/>
      <c r="IK1100" s="5"/>
      <c r="IL1100" s="5"/>
      <c r="IM1100" s="5"/>
      <c r="IN1100" s="5"/>
      <c r="IO1100" s="5"/>
      <c r="IP1100" s="5"/>
      <c r="IQ1100" s="5"/>
      <c r="IR1100" s="5"/>
      <c r="IS1100" s="5"/>
      <c r="IT1100" s="5"/>
      <c r="IU1100" s="5"/>
      <c r="IV1100" s="5"/>
    </row>
    <row r="1101" spans="1:256" ht="23.1" customHeight="1" x14ac:dyDescent="0.25">
      <c r="A1101" s="5"/>
      <c r="B1101" s="288"/>
      <c r="C1101" s="12"/>
      <c r="D1101" s="12"/>
      <c r="E1101" s="12"/>
      <c r="F1101" s="12"/>
      <c r="G1101" s="12"/>
      <c r="H1101" s="12"/>
      <c r="I1101" s="12"/>
      <c r="J1101" s="73"/>
      <c r="K1101" s="73"/>
      <c r="L1101" s="73"/>
      <c r="M1101" s="73"/>
      <c r="N1101" s="12"/>
      <c r="O1101" s="12"/>
      <c r="P1101" s="12"/>
      <c r="Q1101" s="12"/>
      <c r="R1101" s="12"/>
      <c r="S1101" s="12"/>
      <c r="T1101" s="12"/>
      <c r="U1101" s="5"/>
      <c r="V1101" s="5"/>
      <c r="W1101" s="5"/>
      <c r="X1101" s="5"/>
      <c r="Y1101" s="5"/>
      <c r="Z1101" s="5"/>
      <c r="AA1101" s="69"/>
      <c r="AB1101" s="69"/>
      <c r="AC1101" s="5"/>
      <c r="AD1101" s="88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  <c r="GO1101" s="5"/>
      <c r="GP1101" s="5"/>
      <c r="GQ1101" s="5"/>
      <c r="GR1101" s="5"/>
      <c r="GS1101" s="5"/>
      <c r="GT1101" s="5"/>
      <c r="GU1101" s="5"/>
      <c r="GV1101" s="5"/>
      <c r="GW1101" s="5"/>
      <c r="GX1101" s="5"/>
      <c r="GY1101" s="5"/>
      <c r="GZ1101" s="5"/>
      <c r="HA1101" s="5"/>
      <c r="HB1101" s="5"/>
      <c r="HC1101" s="5"/>
      <c r="HD1101" s="5"/>
      <c r="HE1101" s="5"/>
      <c r="HF1101" s="5"/>
      <c r="HG1101" s="5"/>
      <c r="HH1101" s="5"/>
      <c r="HI1101" s="5"/>
      <c r="HJ1101" s="5"/>
      <c r="HK1101" s="5"/>
      <c r="HL1101" s="5"/>
      <c r="HM1101" s="5"/>
      <c r="HN1101" s="5"/>
      <c r="HO1101" s="5"/>
      <c r="HP1101" s="5"/>
      <c r="HQ1101" s="5"/>
      <c r="HR1101" s="5"/>
      <c r="HS1101" s="5"/>
      <c r="HT1101" s="5"/>
      <c r="HU1101" s="5"/>
      <c r="HV1101" s="5"/>
      <c r="HW1101" s="5"/>
      <c r="HX1101" s="5"/>
      <c r="HY1101" s="5"/>
      <c r="HZ1101" s="5"/>
      <c r="IA1101" s="5"/>
      <c r="IB1101" s="5"/>
      <c r="IC1101" s="5"/>
      <c r="ID1101" s="5"/>
      <c r="IE1101" s="5"/>
      <c r="IF1101" s="5"/>
      <c r="IG1101" s="5"/>
      <c r="IH1101" s="5"/>
      <c r="II1101" s="5"/>
      <c r="IJ1101" s="5"/>
      <c r="IK1101" s="5"/>
      <c r="IL1101" s="5"/>
      <c r="IM1101" s="5"/>
      <c r="IN1101" s="5"/>
      <c r="IO1101" s="5"/>
      <c r="IP1101" s="5"/>
      <c r="IQ1101" s="5"/>
      <c r="IR1101" s="5"/>
      <c r="IS1101" s="5"/>
      <c r="IT1101" s="5"/>
      <c r="IU1101" s="5"/>
      <c r="IV1101" s="5"/>
    </row>
    <row r="1102" spans="1:256" ht="23.1" customHeight="1" x14ac:dyDescent="0.25">
      <c r="A1102" s="5"/>
      <c r="B1102" s="288"/>
      <c r="C1102" s="12"/>
      <c r="D1102" s="12"/>
      <c r="E1102" s="12"/>
      <c r="F1102" s="12"/>
      <c r="G1102" s="12"/>
      <c r="H1102" s="12"/>
      <c r="I1102" s="12"/>
      <c r="J1102" s="73"/>
      <c r="K1102" s="73"/>
      <c r="L1102" s="73"/>
      <c r="M1102" s="73"/>
      <c r="N1102" s="12"/>
      <c r="O1102" s="12"/>
      <c r="P1102" s="12"/>
      <c r="Q1102" s="12"/>
      <c r="R1102" s="12"/>
      <c r="S1102" s="12"/>
      <c r="T1102" s="12"/>
      <c r="U1102" s="5"/>
      <c r="V1102" s="5"/>
      <c r="W1102" s="5"/>
      <c r="X1102" s="5"/>
      <c r="Y1102" s="5"/>
      <c r="Z1102" s="5"/>
      <c r="AA1102" s="69"/>
      <c r="AB1102" s="69"/>
      <c r="AC1102" s="5"/>
      <c r="AD1102" s="88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  <c r="GO1102" s="5"/>
      <c r="GP1102" s="5"/>
      <c r="GQ1102" s="5"/>
      <c r="GR1102" s="5"/>
      <c r="GS1102" s="5"/>
      <c r="GT1102" s="5"/>
      <c r="GU1102" s="5"/>
      <c r="GV1102" s="5"/>
      <c r="GW1102" s="5"/>
      <c r="GX1102" s="5"/>
      <c r="GY1102" s="5"/>
      <c r="GZ1102" s="5"/>
      <c r="HA1102" s="5"/>
      <c r="HB1102" s="5"/>
      <c r="HC1102" s="5"/>
      <c r="HD1102" s="5"/>
      <c r="HE1102" s="5"/>
      <c r="HF1102" s="5"/>
      <c r="HG1102" s="5"/>
      <c r="HH1102" s="5"/>
      <c r="HI1102" s="5"/>
      <c r="HJ1102" s="5"/>
      <c r="HK1102" s="5"/>
      <c r="HL1102" s="5"/>
      <c r="HM1102" s="5"/>
      <c r="HN1102" s="5"/>
      <c r="HO1102" s="5"/>
      <c r="HP1102" s="5"/>
      <c r="HQ1102" s="5"/>
      <c r="HR1102" s="5"/>
      <c r="HS1102" s="5"/>
      <c r="HT1102" s="5"/>
      <c r="HU1102" s="5"/>
      <c r="HV1102" s="5"/>
      <c r="HW1102" s="5"/>
      <c r="HX1102" s="5"/>
      <c r="HY1102" s="5"/>
      <c r="HZ1102" s="5"/>
      <c r="IA1102" s="5"/>
      <c r="IB1102" s="5"/>
      <c r="IC1102" s="5"/>
      <c r="ID1102" s="5"/>
      <c r="IE1102" s="5"/>
      <c r="IF1102" s="5"/>
      <c r="IG1102" s="5"/>
      <c r="IH1102" s="5"/>
      <c r="II1102" s="5"/>
      <c r="IJ1102" s="5"/>
      <c r="IK1102" s="5"/>
      <c r="IL1102" s="5"/>
      <c r="IM1102" s="5"/>
      <c r="IN1102" s="5"/>
      <c r="IO1102" s="5"/>
      <c r="IP1102" s="5"/>
      <c r="IQ1102" s="5"/>
      <c r="IR1102" s="5"/>
      <c r="IS1102" s="5"/>
      <c r="IT1102" s="5"/>
      <c r="IU1102" s="5"/>
      <c r="IV1102" s="5"/>
    </row>
    <row r="1103" spans="1:256" ht="23.1" customHeight="1" x14ac:dyDescent="0.25">
      <c r="A1103" s="5"/>
      <c r="B1103" s="288"/>
      <c r="C1103" s="12"/>
      <c r="D1103" s="12"/>
      <c r="E1103" s="12"/>
      <c r="F1103" s="12"/>
      <c r="G1103" s="12"/>
      <c r="H1103" s="12"/>
      <c r="I1103" s="12"/>
      <c r="J1103" s="73"/>
      <c r="K1103" s="73"/>
      <c r="L1103" s="73"/>
      <c r="M1103" s="73"/>
      <c r="N1103" s="12"/>
      <c r="O1103" s="12"/>
      <c r="P1103" s="12"/>
      <c r="Q1103" s="12"/>
      <c r="R1103" s="12"/>
      <c r="S1103" s="12"/>
      <c r="T1103" s="12"/>
      <c r="U1103" s="5"/>
      <c r="V1103" s="5"/>
      <c r="W1103" s="5"/>
      <c r="X1103" s="5"/>
      <c r="Y1103" s="5"/>
      <c r="Z1103" s="5"/>
      <c r="AA1103" s="69"/>
      <c r="AB1103" s="69"/>
      <c r="AC1103" s="5"/>
      <c r="AD1103" s="88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  <c r="GO1103" s="5"/>
      <c r="GP1103" s="5"/>
      <c r="GQ1103" s="5"/>
      <c r="GR1103" s="5"/>
      <c r="GS1103" s="5"/>
      <c r="GT1103" s="5"/>
      <c r="GU1103" s="5"/>
      <c r="GV1103" s="5"/>
      <c r="GW1103" s="5"/>
      <c r="GX1103" s="5"/>
      <c r="GY1103" s="5"/>
      <c r="GZ1103" s="5"/>
      <c r="HA1103" s="5"/>
      <c r="HB1103" s="5"/>
      <c r="HC1103" s="5"/>
      <c r="HD1103" s="5"/>
      <c r="HE1103" s="5"/>
      <c r="HF1103" s="5"/>
      <c r="HG1103" s="5"/>
      <c r="HH1103" s="5"/>
      <c r="HI1103" s="5"/>
      <c r="HJ1103" s="5"/>
      <c r="HK1103" s="5"/>
      <c r="HL1103" s="5"/>
      <c r="HM1103" s="5"/>
      <c r="HN1103" s="5"/>
      <c r="HO1103" s="5"/>
      <c r="HP1103" s="5"/>
      <c r="HQ1103" s="5"/>
      <c r="HR1103" s="5"/>
      <c r="HS1103" s="5"/>
      <c r="HT1103" s="5"/>
      <c r="HU1103" s="5"/>
      <c r="HV1103" s="5"/>
      <c r="HW1103" s="5"/>
      <c r="HX1103" s="5"/>
      <c r="HY1103" s="5"/>
      <c r="HZ1103" s="5"/>
      <c r="IA1103" s="5"/>
      <c r="IB1103" s="5"/>
      <c r="IC1103" s="5"/>
      <c r="ID1103" s="5"/>
      <c r="IE1103" s="5"/>
      <c r="IF1103" s="5"/>
      <c r="IG1103" s="5"/>
      <c r="IH1103" s="5"/>
      <c r="II1103" s="5"/>
      <c r="IJ1103" s="5"/>
      <c r="IK1103" s="5"/>
      <c r="IL1103" s="5"/>
      <c r="IM1103" s="5"/>
      <c r="IN1103" s="5"/>
      <c r="IO1103" s="5"/>
      <c r="IP1103" s="5"/>
      <c r="IQ1103" s="5"/>
      <c r="IR1103" s="5"/>
      <c r="IS1103" s="5"/>
      <c r="IT1103" s="5"/>
      <c r="IU1103" s="5"/>
      <c r="IV1103" s="5"/>
    </row>
    <row r="1104" spans="1:256" ht="23.1" customHeight="1" x14ac:dyDescent="0.25">
      <c r="A1104" s="5"/>
      <c r="B1104" s="288"/>
      <c r="C1104" s="12"/>
      <c r="D1104" s="12"/>
      <c r="E1104" s="12"/>
      <c r="F1104" s="12"/>
      <c r="G1104" s="12"/>
      <c r="H1104" s="12"/>
      <c r="I1104" s="12"/>
      <c r="J1104" s="73"/>
      <c r="K1104" s="73"/>
      <c r="L1104" s="73"/>
      <c r="M1104" s="73"/>
      <c r="N1104" s="12"/>
      <c r="O1104" s="12"/>
      <c r="P1104" s="12"/>
      <c r="Q1104" s="12"/>
      <c r="R1104" s="12"/>
      <c r="S1104" s="12"/>
      <c r="T1104" s="12"/>
      <c r="U1104" s="5"/>
      <c r="V1104" s="5"/>
      <c r="W1104" s="5"/>
      <c r="X1104" s="5"/>
      <c r="Y1104" s="5"/>
      <c r="Z1104" s="5"/>
      <c r="AA1104" s="69"/>
      <c r="AB1104" s="69"/>
      <c r="AC1104" s="5"/>
      <c r="AD1104" s="88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  <c r="GO1104" s="5"/>
      <c r="GP1104" s="5"/>
      <c r="GQ1104" s="5"/>
      <c r="GR1104" s="5"/>
      <c r="GS1104" s="5"/>
      <c r="GT1104" s="5"/>
      <c r="GU1104" s="5"/>
      <c r="GV1104" s="5"/>
      <c r="GW1104" s="5"/>
      <c r="GX1104" s="5"/>
      <c r="GY1104" s="5"/>
      <c r="GZ1104" s="5"/>
      <c r="HA1104" s="5"/>
      <c r="HB1104" s="5"/>
      <c r="HC1104" s="5"/>
      <c r="HD1104" s="5"/>
      <c r="HE1104" s="5"/>
      <c r="HF1104" s="5"/>
      <c r="HG1104" s="5"/>
      <c r="HH1104" s="5"/>
      <c r="HI1104" s="5"/>
      <c r="HJ1104" s="5"/>
      <c r="HK1104" s="5"/>
      <c r="HL1104" s="5"/>
      <c r="HM1104" s="5"/>
      <c r="HN1104" s="5"/>
      <c r="HO1104" s="5"/>
      <c r="HP1104" s="5"/>
      <c r="HQ1104" s="5"/>
      <c r="HR1104" s="5"/>
      <c r="HS1104" s="5"/>
      <c r="HT1104" s="5"/>
      <c r="HU1104" s="5"/>
      <c r="HV1104" s="5"/>
      <c r="HW1104" s="5"/>
      <c r="HX1104" s="5"/>
      <c r="HY1104" s="5"/>
      <c r="HZ1104" s="5"/>
      <c r="IA1104" s="5"/>
      <c r="IB1104" s="5"/>
      <c r="IC1104" s="5"/>
      <c r="ID1104" s="5"/>
      <c r="IE1104" s="5"/>
      <c r="IF1104" s="5"/>
      <c r="IG1104" s="5"/>
      <c r="IH1104" s="5"/>
      <c r="II1104" s="5"/>
      <c r="IJ1104" s="5"/>
      <c r="IK1104" s="5"/>
      <c r="IL1104" s="5"/>
      <c r="IM1104" s="5"/>
      <c r="IN1104" s="5"/>
      <c r="IO1104" s="5"/>
      <c r="IP1104" s="5"/>
      <c r="IQ1104" s="5"/>
      <c r="IR1104" s="5"/>
      <c r="IS1104" s="5"/>
      <c r="IT1104" s="5"/>
      <c r="IU1104" s="5"/>
      <c r="IV1104" s="5"/>
    </row>
    <row r="1105" spans="1:256" ht="23.1" customHeight="1" x14ac:dyDescent="0.25">
      <c r="A1105" s="5"/>
      <c r="B1105" s="288"/>
      <c r="C1105" s="12"/>
      <c r="D1105" s="12"/>
      <c r="E1105" s="12"/>
      <c r="F1105" s="12"/>
      <c r="G1105" s="12"/>
      <c r="H1105" s="12"/>
      <c r="I1105" s="12"/>
      <c r="J1105" s="73"/>
      <c r="K1105" s="73"/>
      <c r="L1105" s="73"/>
      <c r="M1105" s="73"/>
      <c r="N1105" s="12"/>
      <c r="O1105" s="12"/>
      <c r="P1105" s="12"/>
      <c r="Q1105" s="12"/>
      <c r="R1105" s="12"/>
      <c r="S1105" s="12"/>
      <c r="T1105" s="12"/>
      <c r="U1105" s="5"/>
      <c r="V1105" s="5"/>
      <c r="W1105" s="5"/>
      <c r="X1105" s="5"/>
      <c r="Y1105" s="5"/>
      <c r="Z1105" s="5"/>
      <c r="AA1105" s="69"/>
      <c r="AB1105" s="69"/>
      <c r="AC1105" s="5"/>
      <c r="AD1105" s="88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  <c r="GO1105" s="5"/>
      <c r="GP1105" s="5"/>
      <c r="GQ1105" s="5"/>
      <c r="GR1105" s="5"/>
      <c r="GS1105" s="5"/>
      <c r="GT1105" s="5"/>
      <c r="GU1105" s="5"/>
      <c r="GV1105" s="5"/>
      <c r="GW1105" s="5"/>
      <c r="GX1105" s="5"/>
      <c r="GY1105" s="5"/>
      <c r="GZ1105" s="5"/>
      <c r="HA1105" s="5"/>
      <c r="HB1105" s="5"/>
      <c r="HC1105" s="5"/>
      <c r="HD1105" s="5"/>
      <c r="HE1105" s="5"/>
      <c r="HF1105" s="5"/>
      <c r="HG1105" s="5"/>
      <c r="HH1105" s="5"/>
      <c r="HI1105" s="5"/>
      <c r="HJ1105" s="5"/>
      <c r="HK1105" s="5"/>
      <c r="HL1105" s="5"/>
      <c r="HM1105" s="5"/>
      <c r="HN1105" s="5"/>
      <c r="HO1105" s="5"/>
      <c r="HP1105" s="5"/>
      <c r="HQ1105" s="5"/>
      <c r="HR1105" s="5"/>
      <c r="HS1105" s="5"/>
      <c r="HT1105" s="5"/>
      <c r="HU1105" s="5"/>
      <c r="HV1105" s="5"/>
      <c r="HW1105" s="5"/>
      <c r="HX1105" s="5"/>
      <c r="HY1105" s="5"/>
      <c r="HZ1105" s="5"/>
      <c r="IA1105" s="5"/>
      <c r="IB1105" s="5"/>
      <c r="IC1105" s="5"/>
      <c r="ID1105" s="5"/>
      <c r="IE1105" s="5"/>
      <c r="IF1105" s="5"/>
      <c r="IG1105" s="5"/>
      <c r="IH1105" s="5"/>
      <c r="II1105" s="5"/>
      <c r="IJ1105" s="5"/>
      <c r="IK1105" s="5"/>
      <c r="IL1105" s="5"/>
      <c r="IM1105" s="5"/>
      <c r="IN1105" s="5"/>
      <c r="IO1105" s="5"/>
      <c r="IP1105" s="5"/>
      <c r="IQ1105" s="5"/>
      <c r="IR1105" s="5"/>
      <c r="IS1105" s="5"/>
      <c r="IT1105" s="5"/>
      <c r="IU1105" s="5"/>
      <c r="IV1105" s="5"/>
    </row>
    <row r="1106" spans="1:256" ht="23.1" customHeight="1" x14ac:dyDescent="0.25">
      <c r="A1106" s="5"/>
      <c r="B1106" s="288"/>
      <c r="C1106" s="12"/>
      <c r="D1106" s="12"/>
      <c r="E1106" s="12"/>
      <c r="F1106" s="12"/>
      <c r="G1106" s="12"/>
      <c r="H1106" s="12"/>
      <c r="I1106" s="12"/>
      <c r="J1106" s="73"/>
      <c r="K1106" s="73"/>
      <c r="L1106" s="73"/>
      <c r="M1106" s="73"/>
      <c r="N1106" s="12"/>
      <c r="O1106" s="12"/>
      <c r="P1106" s="12"/>
      <c r="Q1106" s="12"/>
      <c r="R1106" s="12"/>
      <c r="S1106" s="12"/>
      <c r="T1106" s="12"/>
      <c r="U1106" s="5"/>
      <c r="V1106" s="5"/>
      <c r="W1106" s="5"/>
      <c r="X1106" s="5"/>
      <c r="Y1106" s="5"/>
      <c r="Z1106" s="5"/>
      <c r="AA1106" s="69"/>
      <c r="AB1106" s="69"/>
      <c r="AC1106" s="5"/>
      <c r="AD1106" s="88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  <c r="GO1106" s="5"/>
      <c r="GP1106" s="5"/>
      <c r="GQ1106" s="5"/>
      <c r="GR1106" s="5"/>
      <c r="GS1106" s="5"/>
      <c r="GT1106" s="5"/>
      <c r="GU1106" s="5"/>
      <c r="GV1106" s="5"/>
      <c r="GW1106" s="5"/>
      <c r="GX1106" s="5"/>
      <c r="GY1106" s="5"/>
      <c r="GZ1106" s="5"/>
      <c r="HA1106" s="5"/>
      <c r="HB1106" s="5"/>
      <c r="HC1106" s="5"/>
      <c r="HD1106" s="5"/>
      <c r="HE1106" s="5"/>
      <c r="HF1106" s="5"/>
      <c r="HG1106" s="5"/>
      <c r="HH1106" s="5"/>
      <c r="HI1106" s="5"/>
      <c r="HJ1106" s="5"/>
      <c r="HK1106" s="5"/>
      <c r="HL1106" s="5"/>
      <c r="HM1106" s="5"/>
      <c r="HN1106" s="5"/>
      <c r="HO1106" s="5"/>
      <c r="HP1106" s="5"/>
      <c r="HQ1106" s="5"/>
      <c r="HR1106" s="5"/>
      <c r="HS1106" s="5"/>
      <c r="HT1106" s="5"/>
      <c r="HU1106" s="5"/>
      <c r="HV1106" s="5"/>
      <c r="HW1106" s="5"/>
      <c r="HX1106" s="5"/>
      <c r="HY1106" s="5"/>
      <c r="HZ1106" s="5"/>
      <c r="IA1106" s="5"/>
      <c r="IB1106" s="5"/>
      <c r="IC1106" s="5"/>
      <c r="ID1106" s="5"/>
      <c r="IE1106" s="5"/>
      <c r="IF1106" s="5"/>
      <c r="IG1106" s="5"/>
      <c r="IH1106" s="5"/>
      <c r="II1106" s="5"/>
      <c r="IJ1106" s="5"/>
      <c r="IK1106" s="5"/>
      <c r="IL1106" s="5"/>
      <c r="IM1106" s="5"/>
      <c r="IN1106" s="5"/>
      <c r="IO1106" s="5"/>
      <c r="IP1106" s="5"/>
      <c r="IQ1106" s="5"/>
      <c r="IR1106" s="5"/>
      <c r="IS1106" s="5"/>
      <c r="IT1106" s="5"/>
      <c r="IU1106" s="5"/>
      <c r="IV1106" s="5"/>
    </row>
    <row r="1107" spans="1:256" ht="23.1" customHeight="1" x14ac:dyDescent="0.25">
      <c r="A1107" s="5"/>
      <c r="B1107" s="288"/>
      <c r="C1107" s="12"/>
      <c r="D1107" s="12"/>
      <c r="E1107" s="12"/>
      <c r="F1107" s="12"/>
      <c r="G1107" s="12"/>
      <c r="H1107" s="12"/>
      <c r="I1107" s="12"/>
      <c r="J1107" s="73"/>
      <c r="K1107" s="73"/>
      <c r="L1107" s="73"/>
      <c r="M1107" s="73"/>
      <c r="N1107" s="12"/>
      <c r="O1107" s="12"/>
      <c r="P1107" s="12"/>
      <c r="Q1107" s="12"/>
      <c r="R1107" s="12"/>
      <c r="S1107" s="12"/>
      <c r="T1107" s="12"/>
      <c r="U1107" s="5"/>
      <c r="V1107" s="5"/>
      <c r="W1107" s="5"/>
      <c r="X1107" s="5"/>
      <c r="Y1107" s="5"/>
      <c r="Z1107" s="5"/>
      <c r="AA1107" s="69"/>
      <c r="AB1107" s="69"/>
      <c r="AC1107" s="5"/>
      <c r="AD1107" s="88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  <c r="GO1107" s="5"/>
      <c r="GP1107" s="5"/>
      <c r="GQ1107" s="5"/>
      <c r="GR1107" s="5"/>
      <c r="GS1107" s="5"/>
      <c r="GT1107" s="5"/>
      <c r="GU1107" s="5"/>
      <c r="GV1107" s="5"/>
      <c r="GW1107" s="5"/>
      <c r="GX1107" s="5"/>
      <c r="GY1107" s="5"/>
      <c r="GZ1107" s="5"/>
      <c r="HA1107" s="5"/>
      <c r="HB1107" s="5"/>
      <c r="HC1107" s="5"/>
      <c r="HD1107" s="5"/>
      <c r="HE1107" s="5"/>
      <c r="HF1107" s="5"/>
      <c r="HG1107" s="5"/>
      <c r="HH1107" s="5"/>
      <c r="HI1107" s="5"/>
      <c r="HJ1107" s="5"/>
      <c r="HK1107" s="5"/>
      <c r="HL1107" s="5"/>
      <c r="HM1107" s="5"/>
      <c r="HN1107" s="5"/>
      <c r="HO1107" s="5"/>
      <c r="HP1107" s="5"/>
      <c r="HQ1107" s="5"/>
      <c r="HR1107" s="5"/>
      <c r="HS1107" s="5"/>
      <c r="HT1107" s="5"/>
      <c r="HU1107" s="5"/>
      <c r="HV1107" s="5"/>
      <c r="HW1107" s="5"/>
      <c r="HX1107" s="5"/>
      <c r="HY1107" s="5"/>
      <c r="HZ1107" s="5"/>
      <c r="IA1107" s="5"/>
      <c r="IB1107" s="5"/>
      <c r="IC1107" s="5"/>
      <c r="ID1107" s="5"/>
      <c r="IE1107" s="5"/>
      <c r="IF1107" s="5"/>
      <c r="IG1107" s="5"/>
      <c r="IH1107" s="5"/>
      <c r="II1107" s="5"/>
      <c r="IJ1107" s="5"/>
      <c r="IK1107" s="5"/>
      <c r="IL1107" s="5"/>
      <c r="IM1107" s="5"/>
      <c r="IN1107" s="5"/>
      <c r="IO1107" s="5"/>
      <c r="IP1107" s="5"/>
      <c r="IQ1107" s="5"/>
      <c r="IR1107" s="5"/>
      <c r="IS1107" s="5"/>
      <c r="IT1107" s="5"/>
      <c r="IU1107" s="5"/>
      <c r="IV1107" s="5"/>
    </row>
    <row r="1108" spans="1:256" ht="23.1" customHeight="1" x14ac:dyDescent="0.25">
      <c r="A1108" s="5"/>
      <c r="B1108" s="288"/>
      <c r="C1108" s="12"/>
      <c r="D1108" s="12"/>
      <c r="E1108" s="12"/>
      <c r="F1108" s="12"/>
      <c r="G1108" s="12"/>
      <c r="H1108" s="12"/>
      <c r="I1108" s="12"/>
      <c r="J1108" s="73"/>
      <c r="K1108" s="73"/>
      <c r="L1108" s="73"/>
      <c r="M1108" s="73"/>
      <c r="N1108" s="12"/>
      <c r="O1108" s="12"/>
      <c r="P1108" s="12"/>
      <c r="Q1108" s="12"/>
      <c r="R1108" s="12"/>
      <c r="S1108" s="12"/>
      <c r="T1108" s="12"/>
      <c r="U1108" s="5"/>
      <c r="V1108" s="5"/>
      <c r="W1108" s="5"/>
      <c r="X1108" s="5"/>
      <c r="Y1108" s="5"/>
      <c r="Z1108" s="5"/>
      <c r="AA1108" s="69"/>
      <c r="AB1108" s="69"/>
      <c r="AC1108" s="5"/>
      <c r="AD1108" s="88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  <c r="GO1108" s="5"/>
      <c r="GP1108" s="5"/>
      <c r="GQ1108" s="5"/>
      <c r="GR1108" s="5"/>
      <c r="GS1108" s="5"/>
      <c r="GT1108" s="5"/>
      <c r="GU1108" s="5"/>
      <c r="GV1108" s="5"/>
      <c r="GW1108" s="5"/>
      <c r="GX1108" s="5"/>
      <c r="GY1108" s="5"/>
      <c r="GZ1108" s="5"/>
      <c r="HA1108" s="5"/>
      <c r="HB1108" s="5"/>
      <c r="HC1108" s="5"/>
      <c r="HD1108" s="5"/>
      <c r="HE1108" s="5"/>
      <c r="HF1108" s="5"/>
      <c r="HG1108" s="5"/>
      <c r="HH1108" s="5"/>
      <c r="HI1108" s="5"/>
      <c r="HJ1108" s="5"/>
      <c r="HK1108" s="5"/>
      <c r="HL1108" s="5"/>
      <c r="HM1108" s="5"/>
      <c r="HN1108" s="5"/>
      <c r="HO1108" s="5"/>
      <c r="HP1108" s="5"/>
      <c r="HQ1108" s="5"/>
      <c r="HR1108" s="5"/>
      <c r="HS1108" s="5"/>
      <c r="HT1108" s="5"/>
      <c r="HU1108" s="5"/>
      <c r="HV1108" s="5"/>
      <c r="HW1108" s="5"/>
      <c r="HX1108" s="5"/>
      <c r="HY1108" s="5"/>
      <c r="HZ1108" s="5"/>
      <c r="IA1108" s="5"/>
      <c r="IB1108" s="5"/>
      <c r="IC1108" s="5"/>
      <c r="ID1108" s="5"/>
      <c r="IE1108" s="5"/>
      <c r="IF1108" s="5"/>
      <c r="IG1108" s="5"/>
      <c r="IH1108" s="5"/>
      <c r="II1108" s="5"/>
      <c r="IJ1108" s="5"/>
      <c r="IK1108" s="5"/>
      <c r="IL1108" s="5"/>
      <c r="IM1108" s="5"/>
      <c r="IN1108" s="5"/>
      <c r="IO1108" s="5"/>
      <c r="IP1108" s="5"/>
      <c r="IQ1108" s="5"/>
      <c r="IR1108" s="5"/>
      <c r="IS1108" s="5"/>
      <c r="IT1108" s="5"/>
      <c r="IU1108" s="5"/>
      <c r="IV1108" s="5"/>
    </row>
    <row r="1109" spans="1:256" ht="23.1" customHeight="1" x14ac:dyDescent="0.25">
      <c r="A1109" s="5"/>
      <c r="B1109" s="288"/>
      <c r="C1109" s="12"/>
      <c r="D1109" s="12"/>
      <c r="E1109" s="12"/>
      <c r="F1109" s="12"/>
      <c r="G1109" s="12"/>
      <c r="H1109" s="12"/>
      <c r="I1109" s="12"/>
      <c r="J1109" s="73"/>
      <c r="K1109" s="73"/>
      <c r="L1109" s="73"/>
      <c r="M1109" s="73"/>
      <c r="N1109" s="12"/>
      <c r="O1109" s="12"/>
      <c r="P1109" s="12"/>
      <c r="Q1109" s="12"/>
      <c r="R1109" s="12"/>
      <c r="S1109" s="12"/>
      <c r="T1109" s="12"/>
      <c r="U1109" s="5"/>
      <c r="V1109" s="5"/>
      <c r="W1109" s="5"/>
      <c r="X1109" s="5"/>
      <c r="Y1109" s="5"/>
      <c r="Z1109" s="5"/>
      <c r="AA1109" s="69"/>
      <c r="AB1109" s="69"/>
      <c r="AC1109" s="5"/>
      <c r="AD1109" s="88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  <c r="GO1109" s="5"/>
      <c r="GP1109" s="5"/>
      <c r="GQ1109" s="5"/>
      <c r="GR1109" s="5"/>
      <c r="GS1109" s="5"/>
      <c r="GT1109" s="5"/>
      <c r="GU1109" s="5"/>
      <c r="GV1109" s="5"/>
      <c r="GW1109" s="5"/>
      <c r="GX1109" s="5"/>
      <c r="GY1109" s="5"/>
      <c r="GZ1109" s="5"/>
      <c r="HA1109" s="5"/>
      <c r="HB1109" s="5"/>
      <c r="HC1109" s="5"/>
      <c r="HD1109" s="5"/>
      <c r="HE1109" s="5"/>
      <c r="HF1109" s="5"/>
      <c r="HG1109" s="5"/>
      <c r="HH1109" s="5"/>
      <c r="HI1109" s="5"/>
      <c r="HJ1109" s="5"/>
      <c r="HK1109" s="5"/>
      <c r="HL1109" s="5"/>
      <c r="HM1109" s="5"/>
      <c r="HN1109" s="5"/>
      <c r="HO1109" s="5"/>
      <c r="HP1109" s="5"/>
      <c r="HQ1109" s="5"/>
      <c r="HR1109" s="5"/>
      <c r="HS1109" s="5"/>
      <c r="HT1109" s="5"/>
      <c r="HU1109" s="5"/>
      <c r="HV1109" s="5"/>
      <c r="HW1109" s="5"/>
      <c r="HX1109" s="5"/>
      <c r="HY1109" s="5"/>
      <c r="HZ1109" s="5"/>
      <c r="IA1109" s="5"/>
      <c r="IB1109" s="5"/>
      <c r="IC1109" s="5"/>
      <c r="ID1109" s="5"/>
      <c r="IE1109" s="5"/>
      <c r="IF1109" s="5"/>
      <c r="IG1109" s="5"/>
      <c r="IH1109" s="5"/>
      <c r="II1109" s="5"/>
      <c r="IJ1109" s="5"/>
      <c r="IK1109" s="5"/>
      <c r="IL1109" s="5"/>
      <c r="IM1109" s="5"/>
      <c r="IN1109" s="5"/>
      <c r="IO1109" s="5"/>
      <c r="IP1109" s="5"/>
      <c r="IQ1109" s="5"/>
      <c r="IR1109" s="5"/>
      <c r="IS1109" s="5"/>
      <c r="IT1109" s="5"/>
      <c r="IU1109" s="5"/>
      <c r="IV1109" s="5"/>
    </row>
    <row r="1110" spans="1:256" ht="23.1" customHeight="1" x14ac:dyDescent="0.25">
      <c r="A1110" s="5"/>
      <c r="B1110" s="288"/>
      <c r="C1110" s="12"/>
      <c r="D1110" s="12"/>
      <c r="E1110" s="12"/>
      <c r="F1110" s="12"/>
      <c r="G1110" s="12"/>
      <c r="H1110" s="12"/>
      <c r="I1110" s="12"/>
      <c r="J1110" s="73"/>
      <c r="K1110" s="73"/>
      <c r="L1110" s="73"/>
      <c r="M1110" s="73"/>
      <c r="N1110" s="12"/>
      <c r="O1110" s="12"/>
      <c r="P1110" s="12"/>
      <c r="Q1110" s="12"/>
      <c r="R1110" s="12"/>
      <c r="S1110" s="12"/>
      <c r="T1110" s="12"/>
      <c r="U1110" s="5"/>
      <c r="V1110" s="5"/>
      <c r="W1110" s="5"/>
      <c r="X1110" s="5"/>
      <c r="Y1110" s="5"/>
      <c r="Z1110" s="5"/>
      <c r="AA1110" s="69"/>
      <c r="AB1110" s="69"/>
      <c r="AC1110" s="5"/>
      <c r="AD1110" s="88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  <c r="GO1110" s="5"/>
      <c r="GP1110" s="5"/>
      <c r="GQ1110" s="5"/>
      <c r="GR1110" s="5"/>
      <c r="GS1110" s="5"/>
      <c r="GT1110" s="5"/>
      <c r="GU1110" s="5"/>
      <c r="GV1110" s="5"/>
      <c r="GW1110" s="5"/>
      <c r="GX1110" s="5"/>
      <c r="GY1110" s="5"/>
      <c r="GZ1110" s="5"/>
      <c r="HA1110" s="5"/>
      <c r="HB1110" s="5"/>
      <c r="HC1110" s="5"/>
      <c r="HD1110" s="5"/>
      <c r="HE1110" s="5"/>
      <c r="HF1110" s="5"/>
      <c r="HG1110" s="5"/>
      <c r="HH1110" s="5"/>
      <c r="HI1110" s="5"/>
      <c r="HJ1110" s="5"/>
      <c r="HK1110" s="5"/>
      <c r="HL1110" s="5"/>
      <c r="HM1110" s="5"/>
      <c r="HN1110" s="5"/>
      <c r="HO1110" s="5"/>
      <c r="HP1110" s="5"/>
      <c r="HQ1110" s="5"/>
      <c r="HR1110" s="5"/>
      <c r="HS1110" s="5"/>
      <c r="HT1110" s="5"/>
      <c r="HU1110" s="5"/>
      <c r="HV1110" s="5"/>
      <c r="HW1110" s="5"/>
      <c r="HX1110" s="5"/>
      <c r="HY1110" s="5"/>
      <c r="HZ1110" s="5"/>
      <c r="IA1110" s="5"/>
      <c r="IB1110" s="5"/>
      <c r="IC1110" s="5"/>
      <c r="ID1110" s="5"/>
      <c r="IE1110" s="5"/>
      <c r="IF1110" s="5"/>
      <c r="IG1110" s="5"/>
      <c r="IH1110" s="5"/>
      <c r="II1110" s="5"/>
      <c r="IJ1110" s="5"/>
      <c r="IK1110" s="5"/>
      <c r="IL1110" s="5"/>
      <c r="IM1110" s="5"/>
      <c r="IN1110" s="5"/>
      <c r="IO1110" s="5"/>
      <c r="IP1110" s="5"/>
      <c r="IQ1110" s="5"/>
      <c r="IR1110" s="5"/>
      <c r="IS1110" s="5"/>
      <c r="IT1110" s="5"/>
      <c r="IU1110" s="5"/>
      <c r="IV1110" s="5"/>
    </row>
    <row r="1111" spans="1:256" ht="23.1" customHeight="1" x14ac:dyDescent="0.25">
      <c r="A1111" s="5"/>
      <c r="B1111" s="288"/>
      <c r="C1111" s="12"/>
      <c r="D1111" s="12"/>
      <c r="E1111" s="12"/>
      <c r="F1111" s="12"/>
      <c r="G1111" s="12"/>
      <c r="H1111" s="12"/>
      <c r="I1111" s="12"/>
      <c r="J1111" s="73"/>
      <c r="K1111" s="73"/>
      <c r="L1111" s="73"/>
      <c r="M1111" s="73"/>
      <c r="N1111" s="12"/>
      <c r="O1111" s="12"/>
      <c r="P1111" s="12"/>
      <c r="Q1111" s="12"/>
      <c r="R1111" s="12"/>
      <c r="S1111" s="12"/>
      <c r="T1111" s="12"/>
      <c r="U1111" s="5"/>
      <c r="V1111" s="5"/>
      <c r="W1111" s="5"/>
      <c r="X1111" s="5"/>
      <c r="Y1111" s="5"/>
      <c r="Z1111" s="5"/>
      <c r="AA1111" s="69"/>
      <c r="AB1111" s="69"/>
      <c r="AC1111" s="5"/>
      <c r="AD1111" s="88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  <c r="GO1111" s="5"/>
      <c r="GP1111" s="5"/>
      <c r="GQ1111" s="5"/>
      <c r="GR1111" s="5"/>
      <c r="GS1111" s="5"/>
      <c r="GT1111" s="5"/>
      <c r="GU1111" s="5"/>
      <c r="GV1111" s="5"/>
      <c r="GW1111" s="5"/>
      <c r="GX1111" s="5"/>
      <c r="GY1111" s="5"/>
      <c r="GZ1111" s="5"/>
      <c r="HA1111" s="5"/>
      <c r="HB1111" s="5"/>
      <c r="HC1111" s="5"/>
      <c r="HD1111" s="5"/>
      <c r="HE1111" s="5"/>
      <c r="HF1111" s="5"/>
      <c r="HG1111" s="5"/>
      <c r="HH1111" s="5"/>
      <c r="HI1111" s="5"/>
      <c r="HJ1111" s="5"/>
      <c r="HK1111" s="5"/>
      <c r="HL1111" s="5"/>
      <c r="HM1111" s="5"/>
      <c r="HN1111" s="5"/>
      <c r="HO1111" s="5"/>
      <c r="HP1111" s="5"/>
      <c r="HQ1111" s="5"/>
      <c r="HR1111" s="5"/>
      <c r="HS1111" s="5"/>
      <c r="HT1111" s="5"/>
      <c r="HU1111" s="5"/>
      <c r="HV1111" s="5"/>
      <c r="HW1111" s="5"/>
      <c r="HX1111" s="5"/>
      <c r="HY1111" s="5"/>
      <c r="HZ1111" s="5"/>
      <c r="IA1111" s="5"/>
      <c r="IB1111" s="5"/>
      <c r="IC1111" s="5"/>
      <c r="ID1111" s="5"/>
      <c r="IE1111" s="5"/>
      <c r="IF1111" s="5"/>
      <c r="IG1111" s="5"/>
      <c r="IH1111" s="5"/>
      <c r="II1111" s="5"/>
      <c r="IJ1111" s="5"/>
      <c r="IK1111" s="5"/>
      <c r="IL1111" s="5"/>
      <c r="IM1111" s="5"/>
      <c r="IN1111" s="5"/>
      <c r="IO1111" s="5"/>
      <c r="IP1111" s="5"/>
      <c r="IQ1111" s="5"/>
      <c r="IR1111" s="5"/>
      <c r="IS1111" s="5"/>
      <c r="IT1111" s="5"/>
      <c r="IU1111" s="5"/>
      <c r="IV1111" s="5"/>
    </row>
    <row r="1112" spans="1:256" ht="23.1" customHeight="1" x14ac:dyDescent="0.25">
      <c r="A1112" s="5"/>
      <c r="B1112" s="288"/>
      <c r="C1112" s="12"/>
      <c r="D1112" s="12"/>
      <c r="E1112" s="12"/>
      <c r="F1112" s="12"/>
      <c r="G1112" s="12"/>
      <c r="H1112" s="12"/>
      <c r="I1112" s="12"/>
      <c r="J1112" s="73"/>
      <c r="K1112" s="73"/>
      <c r="L1112" s="73"/>
      <c r="M1112" s="73"/>
      <c r="N1112" s="12"/>
      <c r="O1112" s="12"/>
      <c r="P1112" s="12"/>
      <c r="Q1112" s="12"/>
      <c r="R1112" s="12"/>
      <c r="S1112" s="12"/>
      <c r="T1112" s="12"/>
      <c r="U1112" s="5"/>
      <c r="V1112" s="5"/>
      <c r="W1112" s="5"/>
      <c r="X1112" s="5"/>
      <c r="Y1112" s="5"/>
      <c r="Z1112" s="5"/>
      <c r="AA1112" s="69"/>
      <c r="AB1112" s="69"/>
      <c r="AC1112" s="5"/>
      <c r="AD1112" s="88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  <c r="GO1112" s="5"/>
      <c r="GP1112" s="5"/>
      <c r="GQ1112" s="5"/>
      <c r="GR1112" s="5"/>
      <c r="GS1112" s="5"/>
      <c r="GT1112" s="5"/>
      <c r="GU1112" s="5"/>
      <c r="GV1112" s="5"/>
      <c r="GW1112" s="5"/>
      <c r="GX1112" s="5"/>
      <c r="GY1112" s="5"/>
      <c r="GZ1112" s="5"/>
      <c r="HA1112" s="5"/>
      <c r="HB1112" s="5"/>
      <c r="HC1112" s="5"/>
      <c r="HD1112" s="5"/>
      <c r="HE1112" s="5"/>
      <c r="HF1112" s="5"/>
      <c r="HG1112" s="5"/>
      <c r="HH1112" s="5"/>
      <c r="HI1112" s="5"/>
      <c r="HJ1112" s="5"/>
      <c r="HK1112" s="5"/>
      <c r="HL1112" s="5"/>
      <c r="HM1112" s="5"/>
      <c r="HN1112" s="5"/>
      <c r="HO1112" s="5"/>
      <c r="HP1112" s="5"/>
      <c r="HQ1112" s="5"/>
      <c r="HR1112" s="5"/>
      <c r="HS1112" s="5"/>
      <c r="HT1112" s="5"/>
      <c r="HU1112" s="5"/>
      <c r="HV1112" s="5"/>
      <c r="HW1112" s="5"/>
      <c r="HX1112" s="5"/>
      <c r="HY1112" s="5"/>
      <c r="HZ1112" s="5"/>
      <c r="IA1112" s="5"/>
      <c r="IB1112" s="5"/>
      <c r="IC1112" s="5"/>
      <c r="ID1112" s="5"/>
      <c r="IE1112" s="5"/>
      <c r="IF1112" s="5"/>
      <c r="IG1112" s="5"/>
      <c r="IH1112" s="5"/>
      <c r="II1112" s="5"/>
      <c r="IJ1112" s="5"/>
      <c r="IK1112" s="5"/>
      <c r="IL1112" s="5"/>
      <c r="IM1112" s="5"/>
      <c r="IN1112" s="5"/>
      <c r="IO1112" s="5"/>
      <c r="IP1112" s="5"/>
      <c r="IQ1112" s="5"/>
      <c r="IR1112" s="5"/>
      <c r="IS1112" s="5"/>
      <c r="IT1112" s="5"/>
      <c r="IU1112" s="5"/>
      <c r="IV1112" s="5"/>
    </row>
    <row r="1113" spans="1:256" ht="23.1" customHeight="1" x14ac:dyDescent="0.25">
      <c r="A1113" s="5"/>
      <c r="B1113" s="288"/>
      <c r="C1113" s="12"/>
      <c r="D1113" s="12"/>
      <c r="E1113" s="12"/>
      <c r="F1113" s="12"/>
      <c r="G1113" s="12"/>
      <c r="H1113" s="12"/>
      <c r="I1113" s="12"/>
      <c r="J1113" s="73"/>
      <c r="K1113" s="73"/>
      <c r="L1113" s="73"/>
      <c r="M1113" s="73"/>
      <c r="N1113" s="12"/>
      <c r="O1113" s="12"/>
      <c r="P1113" s="12"/>
      <c r="Q1113" s="12"/>
      <c r="R1113" s="12"/>
      <c r="S1113" s="12"/>
      <c r="T1113" s="12"/>
      <c r="U1113" s="5"/>
      <c r="V1113" s="5"/>
      <c r="W1113" s="5"/>
      <c r="X1113" s="5"/>
      <c r="Y1113" s="5"/>
      <c r="Z1113" s="5"/>
      <c r="AA1113" s="69"/>
      <c r="AB1113" s="69"/>
      <c r="AC1113" s="5"/>
      <c r="AD1113" s="88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  <c r="GO1113" s="5"/>
      <c r="GP1113" s="5"/>
      <c r="GQ1113" s="5"/>
      <c r="GR1113" s="5"/>
      <c r="GS1113" s="5"/>
      <c r="GT1113" s="5"/>
      <c r="GU1113" s="5"/>
      <c r="GV1113" s="5"/>
      <c r="GW1113" s="5"/>
      <c r="GX1113" s="5"/>
      <c r="GY1113" s="5"/>
      <c r="GZ1113" s="5"/>
      <c r="HA1113" s="5"/>
      <c r="HB1113" s="5"/>
      <c r="HC1113" s="5"/>
      <c r="HD1113" s="5"/>
      <c r="HE1113" s="5"/>
      <c r="HF1113" s="5"/>
      <c r="HG1113" s="5"/>
      <c r="HH1113" s="5"/>
      <c r="HI1113" s="5"/>
      <c r="HJ1113" s="5"/>
      <c r="HK1113" s="5"/>
      <c r="HL1113" s="5"/>
      <c r="HM1113" s="5"/>
      <c r="HN1113" s="5"/>
      <c r="HO1113" s="5"/>
      <c r="HP1113" s="5"/>
      <c r="HQ1113" s="5"/>
      <c r="HR1113" s="5"/>
      <c r="HS1113" s="5"/>
      <c r="HT1113" s="5"/>
      <c r="HU1113" s="5"/>
      <c r="HV1113" s="5"/>
      <c r="HW1113" s="5"/>
      <c r="HX1113" s="5"/>
      <c r="HY1113" s="5"/>
      <c r="HZ1113" s="5"/>
      <c r="IA1113" s="5"/>
      <c r="IB1113" s="5"/>
      <c r="IC1113" s="5"/>
      <c r="ID1113" s="5"/>
      <c r="IE1113" s="5"/>
      <c r="IF1113" s="5"/>
      <c r="IG1113" s="5"/>
      <c r="IH1113" s="5"/>
      <c r="II1113" s="5"/>
      <c r="IJ1113" s="5"/>
      <c r="IK1113" s="5"/>
      <c r="IL1113" s="5"/>
      <c r="IM1113" s="5"/>
      <c r="IN1113" s="5"/>
      <c r="IO1113" s="5"/>
      <c r="IP1113" s="5"/>
      <c r="IQ1113" s="5"/>
      <c r="IR1113" s="5"/>
      <c r="IS1113" s="5"/>
      <c r="IT1113" s="5"/>
      <c r="IU1113" s="5"/>
      <c r="IV1113" s="5"/>
    </row>
    <row r="1114" spans="1:256" ht="23.1" customHeight="1" x14ac:dyDescent="0.25">
      <c r="A1114" s="5"/>
      <c r="B1114" s="288"/>
      <c r="C1114" s="12"/>
      <c r="D1114" s="12"/>
      <c r="E1114" s="12"/>
      <c r="F1114" s="12"/>
      <c r="G1114" s="12"/>
      <c r="H1114" s="12"/>
      <c r="I1114" s="12"/>
      <c r="J1114" s="73"/>
      <c r="K1114" s="73"/>
      <c r="L1114" s="73"/>
      <c r="M1114" s="73"/>
      <c r="N1114" s="12"/>
      <c r="O1114" s="12"/>
      <c r="P1114" s="12"/>
      <c r="Q1114" s="12"/>
      <c r="R1114" s="12"/>
      <c r="S1114" s="12"/>
      <c r="T1114" s="12"/>
      <c r="U1114" s="5"/>
      <c r="V1114" s="5"/>
      <c r="W1114" s="5"/>
      <c r="X1114" s="5"/>
      <c r="Y1114" s="5"/>
      <c r="Z1114" s="5"/>
      <c r="AA1114" s="69"/>
      <c r="AB1114" s="69"/>
      <c r="AC1114" s="5"/>
      <c r="AD1114" s="88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  <c r="GO1114" s="5"/>
      <c r="GP1114" s="5"/>
      <c r="GQ1114" s="5"/>
      <c r="GR1114" s="5"/>
      <c r="GS1114" s="5"/>
      <c r="GT1114" s="5"/>
      <c r="GU1114" s="5"/>
      <c r="GV1114" s="5"/>
      <c r="GW1114" s="5"/>
      <c r="GX1114" s="5"/>
      <c r="GY1114" s="5"/>
      <c r="GZ1114" s="5"/>
      <c r="HA1114" s="5"/>
      <c r="HB1114" s="5"/>
      <c r="HC1114" s="5"/>
      <c r="HD1114" s="5"/>
      <c r="HE1114" s="5"/>
      <c r="HF1114" s="5"/>
      <c r="HG1114" s="5"/>
      <c r="HH1114" s="5"/>
      <c r="HI1114" s="5"/>
      <c r="HJ1114" s="5"/>
      <c r="HK1114" s="5"/>
      <c r="HL1114" s="5"/>
      <c r="HM1114" s="5"/>
      <c r="HN1114" s="5"/>
      <c r="HO1114" s="5"/>
      <c r="HP1114" s="5"/>
      <c r="HQ1114" s="5"/>
      <c r="HR1114" s="5"/>
      <c r="HS1114" s="5"/>
      <c r="HT1114" s="5"/>
      <c r="HU1114" s="5"/>
      <c r="HV1114" s="5"/>
      <c r="HW1114" s="5"/>
      <c r="HX1114" s="5"/>
      <c r="HY1114" s="5"/>
      <c r="HZ1114" s="5"/>
      <c r="IA1114" s="5"/>
      <c r="IB1114" s="5"/>
      <c r="IC1114" s="5"/>
      <c r="ID1114" s="5"/>
      <c r="IE1114" s="5"/>
      <c r="IF1114" s="5"/>
      <c r="IG1114" s="5"/>
      <c r="IH1114" s="5"/>
      <c r="II1114" s="5"/>
      <c r="IJ1114" s="5"/>
      <c r="IK1114" s="5"/>
      <c r="IL1114" s="5"/>
      <c r="IM1114" s="5"/>
      <c r="IN1114" s="5"/>
      <c r="IO1114" s="5"/>
      <c r="IP1114" s="5"/>
      <c r="IQ1114" s="5"/>
      <c r="IR1114" s="5"/>
      <c r="IS1114" s="5"/>
      <c r="IT1114" s="5"/>
      <c r="IU1114" s="5"/>
      <c r="IV1114" s="5"/>
    </row>
    <row r="1115" spans="1:256" ht="23.1" customHeight="1" x14ac:dyDescent="0.25">
      <c r="A1115" s="5"/>
      <c r="B1115" s="288"/>
      <c r="C1115" s="12"/>
      <c r="D1115" s="12"/>
      <c r="E1115" s="12"/>
      <c r="F1115" s="12"/>
      <c r="G1115" s="12"/>
      <c r="H1115" s="12"/>
      <c r="I1115" s="12"/>
      <c r="J1115" s="73"/>
      <c r="K1115" s="73"/>
      <c r="L1115" s="73"/>
      <c r="M1115" s="73"/>
      <c r="N1115" s="12"/>
      <c r="O1115" s="12"/>
      <c r="P1115" s="12"/>
      <c r="Q1115" s="12"/>
      <c r="R1115" s="12"/>
      <c r="S1115" s="12"/>
      <c r="T1115" s="12"/>
      <c r="U1115" s="5"/>
      <c r="V1115" s="5"/>
      <c r="W1115" s="5"/>
      <c r="X1115" s="5"/>
      <c r="Y1115" s="5"/>
      <c r="Z1115" s="5"/>
      <c r="AA1115" s="69"/>
      <c r="AB1115" s="69"/>
      <c r="AC1115" s="5"/>
      <c r="AD1115" s="88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  <c r="GO1115" s="5"/>
      <c r="GP1115" s="5"/>
      <c r="GQ1115" s="5"/>
      <c r="GR1115" s="5"/>
      <c r="GS1115" s="5"/>
      <c r="GT1115" s="5"/>
      <c r="GU1115" s="5"/>
      <c r="GV1115" s="5"/>
      <c r="GW1115" s="5"/>
      <c r="GX1115" s="5"/>
      <c r="GY1115" s="5"/>
      <c r="GZ1115" s="5"/>
      <c r="HA1115" s="5"/>
      <c r="HB1115" s="5"/>
      <c r="HC1115" s="5"/>
      <c r="HD1115" s="5"/>
      <c r="HE1115" s="5"/>
      <c r="HF1115" s="5"/>
      <c r="HG1115" s="5"/>
      <c r="HH1115" s="5"/>
      <c r="HI1115" s="5"/>
      <c r="HJ1115" s="5"/>
      <c r="HK1115" s="5"/>
      <c r="HL1115" s="5"/>
      <c r="HM1115" s="5"/>
      <c r="HN1115" s="5"/>
      <c r="HO1115" s="5"/>
      <c r="HP1115" s="5"/>
      <c r="HQ1115" s="5"/>
      <c r="HR1115" s="5"/>
      <c r="HS1115" s="5"/>
      <c r="HT1115" s="5"/>
      <c r="HU1115" s="5"/>
      <c r="HV1115" s="5"/>
      <c r="HW1115" s="5"/>
      <c r="HX1115" s="5"/>
      <c r="HY1115" s="5"/>
      <c r="HZ1115" s="5"/>
      <c r="IA1115" s="5"/>
      <c r="IB1115" s="5"/>
      <c r="IC1115" s="5"/>
      <c r="ID1115" s="5"/>
      <c r="IE1115" s="5"/>
      <c r="IF1115" s="5"/>
      <c r="IG1115" s="5"/>
      <c r="IH1115" s="5"/>
      <c r="II1115" s="5"/>
      <c r="IJ1115" s="5"/>
      <c r="IK1115" s="5"/>
      <c r="IL1115" s="5"/>
      <c r="IM1115" s="5"/>
      <c r="IN1115" s="5"/>
      <c r="IO1115" s="5"/>
      <c r="IP1115" s="5"/>
      <c r="IQ1115" s="5"/>
      <c r="IR1115" s="5"/>
      <c r="IS1115" s="5"/>
      <c r="IT1115" s="5"/>
      <c r="IU1115" s="5"/>
      <c r="IV1115" s="5"/>
    </row>
    <row r="1116" spans="1:256" ht="23.1" customHeight="1" x14ac:dyDescent="0.25">
      <c r="A1116" s="5"/>
      <c r="B1116" s="288"/>
      <c r="C1116" s="12"/>
      <c r="D1116" s="12"/>
      <c r="E1116" s="12"/>
      <c r="F1116" s="12"/>
      <c r="G1116" s="12"/>
      <c r="H1116" s="12"/>
      <c r="I1116" s="12"/>
      <c r="J1116" s="73"/>
      <c r="K1116" s="73"/>
      <c r="L1116" s="73"/>
      <c r="M1116" s="73"/>
      <c r="N1116" s="12"/>
      <c r="O1116" s="12"/>
      <c r="P1116" s="12"/>
      <c r="Q1116" s="12"/>
      <c r="R1116" s="12"/>
      <c r="S1116" s="12"/>
      <c r="T1116" s="12"/>
      <c r="U1116" s="5"/>
      <c r="V1116" s="5"/>
      <c r="W1116" s="5"/>
      <c r="X1116" s="5"/>
      <c r="Y1116" s="5"/>
      <c r="Z1116" s="5"/>
      <c r="AA1116" s="69"/>
      <c r="AB1116" s="69"/>
      <c r="AC1116" s="5"/>
      <c r="AD1116" s="88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  <c r="GO1116" s="5"/>
      <c r="GP1116" s="5"/>
      <c r="GQ1116" s="5"/>
      <c r="GR1116" s="5"/>
      <c r="GS1116" s="5"/>
      <c r="GT1116" s="5"/>
      <c r="GU1116" s="5"/>
      <c r="GV1116" s="5"/>
      <c r="GW1116" s="5"/>
      <c r="GX1116" s="5"/>
      <c r="GY1116" s="5"/>
      <c r="GZ1116" s="5"/>
      <c r="HA1116" s="5"/>
      <c r="HB1116" s="5"/>
      <c r="HC1116" s="5"/>
      <c r="HD1116" s="5"/>
      <c r="HE1116" s="5"/>
      <c r="HF1116" s="5"/>
      <c r="HG1116" s="5"/>
      <c r="HH1116" s="5"/>
      <c r="HI1116" s="5"/>
      <c r="HJ1116" s="5"/>
      <c r="HK1116" s="5"/>
      <c r="HL1116" s="5"/>
      <c r="HM1116" s="5"/>
      <c r="HN1116" s="5"/>
      <c r="HO1116" s="5"/>
      <c r="HP1116" s="5"/>
      <c r="HQ1116" s="5"/>
      <c r="HR1116" s="5"/>
      <c r="HS1116" s="5"/>
      <c r="HT1116" s="5"/>
      <c r="HU1116" s="5"/>
      <c r="HV1116" s="5"/>
      <c r="HW1116" s="5"/>
      <c r="HX1116" s="5"/>
      <c r="HY1116" s="5"/>
      <c r="HZ1116" s="5"/>
      <c r="IA1116" s="5"/>
      <c r="IB1116" s="5"/>
      <c r="IC1116" s="5"/>
      <c r="ID1116" s="5"/>
      <c r="IE1116" s="5"/>
      <c r="IF1116" s="5"/>
      <c r="IG1116" s="5"/>
      <c r="IH1116" s="5"/>
      <c r="II1116" s="5"/>
      <c r="IJ1116" s="5"/>
      <c r="IK1116" s="5"/>
      <c r="IL1116" s="5"/>
      <c r="IM1116" s="5"/>
      <c r="IN1116" s="5"/>
      <c r="IO1116" s="5"/>
      <c r="IP1116" s="5"/>
      <c r="IQ1116" s="5"/>
      <c r="IR1116" s="5"/>
      <c r="IS1116" s="5"/>
      <c r="IT1116" s="5"/>
      <c r="IU1116" s="5"/>
      <c r="IV1116" s="5"/>
    </row>
    <row r="1117" spans="1:256" ht="23.1" customHeight="1" x14ac:dyDescent="0.25">
      <c r="A1117" s="5"/>
      <c r="B1117" s="288"/>
      <c r="C1117" s="12"/>
      <c r="D1117" s="12"/>
      <c r="E1117" s="12"/>
      <c r="F1117" s="12"/>
      <c r="G1117" s="12"/>
      <c r="H1117" s="12"/>
      <c r="I1117" s="12"/>
      <c r="J1117" s="73"/>
      <c r="K1117" s="73"/>
      <c r="L1117" s="73"/>
      <c r="M1117" s="73"/>
      <c r="N1117" s="12"/>
      <c r="O1117" s="12"/>
      <c r="P1117" s="12"/>
      <c r="Q1117" s="12"/>
      <c r="R1117" s="12"/>
      <c r="S1117" s="12"/>
      <c r="T1117" s="12"/>
      <c r="U1117" s="5"/>
      <c r="V1117" s="5"/>
      <c r="W1117" s="5"/>
      <c r="X1117" s="5"/>
      <c r="Y1117" s="5"/>
      <c r="Z1117" s="5"/>
      <c r="AA1117" s="69"/>
      <c r="AB1117" s="69"/>
      <c r="AC1117" s="5"/>
      <c r="AD1117" s="88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  <c r="GO1117" s="5"/>
      <c r="GP1117" s="5"/>
      <c r="GQ1117" s="5"/>
      <c r="GR1117" s="5"/>
      <c r="GS1117" s="5"/>
      <c r="GT1117" s="5"/>
      <c r="GU1117" s="5"/>
      <c r="GV1117" s="5"/>
      <c r="GW1117" s="5"/>
      <c r="GX1117" s="5"/>
      <c r="GY1117" s="5"/>
      <c r="GZ1117" s="5"/>
      <c r="HA1117" s="5"/>
      <c r="HB1117" s="5"/>
      <c r="HC1117" s="5"/>
      <c r="HD1117" s="5"/>
      <c r="HE1117" s="5"/>
      <c r="HF1117" s="5"/>
      <c r="HG1117" s="5"/>
      <c r="HH1117" s="5"/>
      <c r="HI1117" s="5"/>
      <c r="HJ1117" s="5"/>
      <c r="HK1117" s="5"/>
      <c r="HL1117" s="5"/>
      <c r="HM1117" s="5"/>
      <c r="HN1117" s="5"/>
      <c r="HO1117" s="5"/>
      <c r="HP1117" s="5"/>
      <c r="HQ1117" s="5"/>
      <c r="HR1117" s="5"/>
      <c r="HS1117" s="5"/>
      <c r="HT1117" s="5"/>
      <c r="HU1117" s="5"/>
      <c r="HV1117" s="5"/>
      <c r="HW1117" s="5"/>
      <c r="HX1117" s="5"/>
      <c r="HY1117" s="5"/>
      <c r="HZ1117" s="5"/>
      <c r="IA1117" s="5"/>
      <c r="IB1117" s="5"/>
      <c r="IC1117" s="5"/>
      <c r="ID1117" s="5"/>
      <c r="IE1117" s="5"/>
      <c r="IF1117" s="5"/>
      <c r="IG1117" s="5"/>
      <c r="IH1117" s="5"/>
      <c r="II1117" s="5"/>
      <c r="IJ1117" s="5"/>
      <c r="IK1117" s="5"/>
      <c r="IL1117" s="5"/>
      <c r="IM1117" s="5"/>
      <c r="IN1117" s="5"/>
      <c r="IO1117" s="5"/>
      <c r="IP1117" s="5"/>
      <c r="IQ1117" s="5"/>
      <c r="IR1117" s="5"/>
      <c r="IS1117" s="5"/>
      <c r="IT1117" s="5"/>
      <c r="IU1117" s="5"/>
      <c r="IV1117" s="5"/>
    </row>
    <row r="1118" spans="1:256" ht="23.1" customHeight="1" x14ac:dyDescent="0.25">
      <c r="A1118" s="5"/>
      <c r="B1118" s="288"/>
      <c r="C1118" s="12"/>
      <c r="D1118" s="12"/>
      <c r="E1118" s="12"/>
      <c r="F1118" s="12"/>
      <c r="G1118" s="12"/>
      <c r="H1118" s="12"/>
      <c r="I1118" s="12"/>
      <c r="J1118" s="73"/>
      <c r="K1118" s="73"/>
      <c r="L1118" s="73"/>
      <c r="M1118" s="73"/>
      <c r="N1118" s="12"/>
      <c r="O1118" s="12"/>
      <c r="P1118" s="12"/>
      <c r="Q1118" s="12"/>
      <c r="R1118" s="12"/>
      <c r="S1118" s="12"/>
      <c r="T1118" s="12"/>
      <c r="U1118" s="5"/>
      <c r="V1118" s="5"/>
      <c r="W1118" s="5"/>
      <c r="X1118" s="5"/>
      <c r="Y1118" s="5"/>
      <c r="Z1118" s="5"/>
      <c r="AA1118" s="69"/>
      <c r="AB1118" s="69"/>
      <c r="AC1118" s="5"/>
      <c r="AD1118" s="88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  <c r="GO1118" s="5"/>
      <c r="GP1118" s="5"/>
      <c r="GQ1118" s="5"/>
      <c r="GR1118" s="5"/>
      <c r="GS1118" s="5"/>
      <c r="GT1118" s="5"/>
      <c r="GU1118" s="5"/>
      <c r="GV1118" s="5"/>
      <c r="GW1118" s="5"/>
      <c r="GX1118" s="5"/>
      <c r="GY1118" s="5"/>
      <c r="GZ1118" s="5"/>
      <c r="HA1118" s="5"/>
      <c r="HB1118" s="5"/>
      <c r="HC1118" s="5"/>
      <c r="HD1118" s="5"/>
      <c r="HE1118" s="5"/>
      <c r="HF1118" s="5"/>
      <c r="HG1118" s="5"/>
      <c r="HH1118" s="5"/>
      <c r="HI1118" s="5"/>
      <c r="HJ1118" s="5"/>
      <c r="HK1118" s="5"/>
      <c r="HL1118" s="5"/>
      <c r="HM1118" s="5"/>
      <c r="HN1118" s="5"/>
      <c r="HO1118" s="5"/>
      <c r="HP1118" s="5"/>
      <c r="HQ1118" s="5"/>
      <c r="HR1118" s="5"/>
      <c r="HS1118" s="5"/>
      <c r="HT1118" s="5"/>
      <c r="HU1118" s="5"/>
      <c r="HV1118" s="5"/>
      <c r="HW1118" s="5"/>
      <c r="HX1118" s="5"/>
      <c r="HY1118" s="5"/>
      <c r="HZ1118" s="5"/>
      <c r="IA1118" s="5"/>
      <c r="IB1118" s="5"/>
      <c r="IC1118" s="5"/>
      <c r="ID1118" s="5"/>
      <c r="IE1118" s="5"/>
      <c r="IF1118" s="5"/>
      <c r="IG1118" s="5"/>
      <c r="IH1118" s="5"/>
      <c r="II1118" s="5"/>
      <c r="IJ1118" s="5"/>
      <c r="IK1118" s="5"/>
      <c r="IL1118" s="5"/>
      <c r="IM1118" s="5"/>
      <c r="IN1118" s="5"/>
      <c r="IO1118" s="5"/>
      <c r="IP1118" s="5"/>
      <c r="IQ1118" s="5"/>
      <c r="IR1118" s="5"/>
      <c r="IS1118" s="5"/>
      <c r="IT1118" s="5"/>
      <c r="IU1118" s="5"/>
      <c r="IV1118" s="5"/>
    </row>
    <row r="1119" spans="1:256" ht="23.1" customHeight="1" x14ac:dyDescent="0.25">
      <c r="A1119" s="5"/>
      <c r="B1119" s="288"/>
      <c r="C1119" s="12"/>
      <c r="D1119" s="12"/>
      <c r="E1119" s="12"/>
      <c r="F1119" s="12"/>
      <c r="G1119" s="12"/>
      <c r="H1119" s="12"/>
      <c r="I1119" s="12"/>
      <c r="J1119" s="73"/>
      <c r="K1119" s="73"/>
      <c r="L1119" s="73"/>
      <c r="M1119" s="73"/>
      <c r="N1119" s="12"/>
      <c r="O1119" s="12"/>
      <c r="P1119" s="12"/>
      <c r="Q1119" s="12"/>
      <c r="R1119" s="12"/>
      <c r="S1119" s="12"/>
      <c r="T1119" s="12"/>
      <c r="U1119" s="5"/>
      <c r="V1119" s="5"/>
      <c r="W1119" s="5"/>
      <c r="X1119" s="5"/>
      <c r="Y1119" s="5"/>
      <c r="Z1119" s="5"/>
      <c r="AA1119" s="69"/>
      <c r="AB1119" s="69"/>
      <c r="AC1119" s="5"/>
      <c r="AD1119" s="88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  <c r="GO1119" s="5"/>
      <c r="GP1119" s="5"/>
      <c r="GQ1119" s="5"/>
      <c r="GR1119" s="5"/>
      <c r="GS1119" s="5"/>
      <c r="GT1119" s="5"/>
      <c r="GU1119" s="5"/>
      <c r="GV1119" s="5"/>
      <c r="GW1119" s="5"/>
      <c r="GX1119" s="5"/>
      <c r="GY1119" s="5"/>
      <c r="GZ1119" s="5"/>
      <c r="HA1119" s="5"/>
      <c r="HB1119" s="5"/>
      <c r="HC1119" s="5"/>
      <c r="HD1119" s="5"/>
      <c r="HE1119" s="5"/>
      <c r="HF1119" s="5"/>
      <c r="HG1119" s="5"/>
      <c r="HH1119" s="5"/>
      <c r="HI1119" s="5"/>
      <c r="HJ1119" s="5"/>
      <c r="HK1119" s="5"/>
      <c r="HL1119" s="5"/>
      <c r="HM1119" s="5"/>
      <c r="HN1119" s="5"/>
      <c r="HO1119" s="5"/>
      <c r="HP1119" s="5"/>
      <c r="HQ1119" s="5"/>
      <c r="HR1119" s="5"/>
      <c r="HS1119" s="5"/>
      <c r="HT1119" s="5"/>
      <c r="HU1119" s="5"/>
      <c r="HV1119" s="5"/>
      <c r="HW1119" s="5"/>
      <c r="HX1119" s="5"/>
      <c r="HY1119" s="5"/>
      <c r="HZ1119" s="5"/>
      <c r="IA1119" s="5"/>
      <c r="IB1119" s="5"/>
      <c r="IC1119" s="5"/>
      <c r="ID1119" s="5"/>
      <c r="IE1119" s="5"/>
      <c r="IF1119" s="5"/>
      <c r="IG1119" s="5"/>
      <c r="IH1119" s="5"/>
      <c r="II1119" s="5"/>
      <c r="IJ1119" s="5"/>
      <c r="IK1119" s="5"/>
      <c r="IL1119" s="5"/>
      <c r="IM1119" s="5"/>
      <c r="IN1119" s="5"/>
      <c r="IO1119" s="5"/>
      <c r="IP1119" s="5"/>
      <c r="IQ1119" s="5"/>
      <c r="IR1119" s="5"/>
      <c r="IS1119" s="5"/>
      <c r="IT1119" s="5"/>
      <c r="IU1119" s="5"/>
      <c r="IV1119" s="5"/>
    </row>
    <row r="1120" spans="1:256" ht="23.1" customHeight="1" x14ac:dyDescent="0.25">
      <c r="A1120" s="5"/>
      <c r="B1120" s="288"/>
      <c r="C1120" s="12"/>
      <c r="D1120" s="12"/>
      <c r="E1120" s="12"/>
      <c r="F1120" s="12"/>
      <c r="G1120" s="12"/>
      <c r="H1120" s="12"/>
      <c r="I1120" s="12"/>
      <c r="J1120" s="73"/>
      <c r="K1120" s="73"/>
      <c r="L1120" s="73"/>
      <c r="M1120" s="73"/>
      <c r="N1120" s="12"/>
      <c r="O1120" s="12"/>
      <c r="P1120" s="12"/>
      <c r="Q1120" s="12"/>
      <c r="R1120" s="12"/>
      <c r="S1120" s="12"/>
      <c r="T1120" s="12"/>
      <c r="U1120" s="5"/>
      <c r="V1120" s="5"/>
      <c r="W1120" s="5"/>
      <c r="X1120" s="5"/>
      <c r="Y1120" s="5"/>
      <c r="Z1120" s="5"/>
      <c r="AA1120" s="69"/>
      <c r="AB1120" s="69"/>
      <c r="AC1120" s="5"/>
      <c r="AD1120" s="88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  <c r="GO1120" s="5"/>
      <c r="GP1120" s="5"/>
      <c r="GQ1120" s="5"/>
      <c r="GR1120" s="5"/>
      <c r="GS1120" s="5"/>
      <c r="GT1120" s="5"/>
      <c r="GU1120" s="5"/>
      <c r="GV1120" s="5"/>
      <c r="GW1120" s="5"/>
      <c r="GX1120" s="5"/>
      <c r="GY1120" s="5"/>
      <c r="GZ1120" s="5"/>
      <c r="HA1120" s="5"/>
      <c r="HB1120" s="5"/>
      <c r="HC1120" s="5"/>
      <c r="HD1120" s="5"/>
      <c r="HE1120" s="5"/>
      <c r="HF1120" s="5"/>
      <c r="HG1120" s="5"/>
      <c r="HH1120" s="5"/>
      <c r="HI1120" s="5"/>
      <c r="HJ1120" s="5"/>
      <c r="HK1120" s="5"/>
      <c r="HL1120" s="5"/>
      <c r="HM1120" s="5"/>
      <c r="HN1120" s="5"/>
      <c r="HO1120" s="5"/>
      <c r="HP1120" s="5"/>
      <c r="HQ1120" s="5"/>
      <c r="HR1120" s="5"/>
      <c r="HS1120" s="5"/>
      <c r="HT1120" s="5"/>
      <c r="HU1120" s="5"/>
      <c r="HV1120" s="5"/>
      <c r="HW1120" s="5"/>
      <c r="HX1120" s="5"/>
      <c r="HY1120" s="5"/>
      <c r="HZ1120" s="5"/>
      <c r="IA1120" s="5"/>
      <c r="IB1120" s="5"/>
      <c r="IC1120" s="5"/>
      <c r="ID1120" s="5"/>
      <c r="IE1120" s="5"/>
      <c r="IF1120" s="5"/>
      <c r="IG1120" s="5"/>
      <c r="IH1120" s="5"/>
      <c r="II1120" s="5"/>
      <c r="IJ1120" s="5"/>
      <c r="IK1120" s="5"/>
      <c r="IL1120" s="5"/>
      <c r="IM1120" s="5"/>
      <c r="IN1120" s="5"/>
      <c r="IO1120" s="5"/>
      <c r="IP1120" s="5"/>
      <c r="IQ1120" s="5"/>
      <c r="IR1120" s="5"/>
      <c r="IS1120" s="5"/>
      <c r="IT1120" s="5"/>
      <c r="IU1120" s="5"/>
      <c r="IV1120" s="5"/>
    </row>
    <row r="1121" spans="1:256" ht="23.1" customHeight="1" x14ac:dyDescent="0.25">
      <c r="A1121" s="5"/>
      <c r="B1121" s="288"/>
      <c r="C1121" s="12"/>
      <c r="D1121" s="12"/>
      <c r="E1121" s="12"/>
      <c r="F1121" s="12"/>
      <c r="G1121" s="12"/>
      <c r="H1121" s="12"/>
      <c r="I1121" s="12"/>
      <c r="J1121" s="73"/>
      <c r="K1121" s="73"/>
      <c r="L1121" s="73"/>
      <c r="M1121" s="73"/>
      <c r="N1121" s="12"/>
      <c r="O1121" s="12"/>
      <c r="P1121" s="12"/>
      <c r="Q1121" s="12"/>
      <c r="R1121" s="12"/>
      <c r="S1121" s="12"/>
      <c r="T1121" s="12"/>
      <c r="U1121" s="5"/>
      <c r="V1121" s="5"/>
      <c r="W1121" s="5"/>
      <c r="X1121" s="5"/>
      <c r="Y1121" s="5"/>
      <c r="Z1121" s="5"/>
      <c r="AA1121" s="69"/>
      <c r="AB1121" s="69"/>
      <c r="AC1121" s="5"/>
      <c r="AD1121" s="88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  <c r="GO1121" s="5"/>
      <c r="GP1121" s="5"/>
      <c r="GQ1121" s="5"/>
      <c r="GR1121" s="5"/>
      <c r="GS1121" s="5"/>
      <c r="GT1121" s="5"/>
      <c r="GU1121" s="5"/>
      <c r="GV1121" s="5"/>
      <c r="GW1121" s="5"/>
      <c r="GX1121" s="5"/>
      <c r="GY1121" s="5"/>
      <c r="GZ1121" s="5"/>
      <c r="HA1121" s="5"/>
      <c r="HB1121" s="5"/>
      <c r="HC1121" s="5"/>
      <c r="HD1121" s="5"/>
      <c r="HE1121" s="5"/>
      <c r="HF1121" s="5"/>
      <c r="HG1121" s="5"/>
      <c r="HH1121" s="5"/>
      <c r="HI1121" s="5"/>
      <c r="HJ1121" s="5"/>
      <c r="HK1121" s="5"/>
      <c r="HL1121" s="5"/>
      <c r="HM1121" s="5"/>
      <c r="HN1121" s="5"/>
      <c r="HO1121" s="5"/>
      <c r="HP1121" s="5"/>
      <c r="HQ1121" s="5"/>
      <c r="HR1121" s="5"/>
      <c r="HS1121" s="5"/>
      <c r="HT1121" s="5"/>
      <c r="HU1121" s="5"/>
      <c r="HV1121" s="5"/>
      <c r="HW1121" s="5"/>
      <c r="HX1121" s="5"/>
      <c r="HY1121" s="5"/>
      <c r="HZ1121" s="5"/>
      <c r="IA1121" s="5"/>
      <c r="IB1121" s="5"/>
      <c r="IC1121" s="5"/>
      <c r="ID1121" s="5"/>
      <c r="IE1121" s="5"/>
      <c r="IF1121" s="5"/>
      <c r="IG1121" s="5"/>
      <c r="IH1121" s="5"/>
      <c r="II1121" s="5"/>
      <c r="IJ1121" s="5"/>
      <c r="IK1121" s="5"/>
      <c r="IL1121" s="5"/>
      <c r="IM1121" s="5"/>
      <c r="IN1121" s="5"/>
      <c r="IO1121" s="5"/>
      <c r="IP1121" s="5"/>
      <c r="IQ1121" s="5"/>
      <c r="IR1121" s="5"/>
      <c r="IS1121" s="5"/>
      <c r="IT1121" s="5"/>
      <c r="IU1121" s="5"/>
      <c r="IV1121" s="5"/>
    </row>
    <row r="1122" spans="1:256" ht="23.1" customHeight="1" x14ac:dyDescent="0.25">
      <c r="A1122" s="5"/>
      <c r="B1122" s="288"/>
      <c r="C1122" s="12"/>
      <c r="D1122" s="12"/>
      <c r="E1122" s="12"/>
      <c r="F1122" s="12"/>
      <c r="G1122" s="12"/>
      <c r="H1122" s="12"/>
      <c r="I1122" s="12"/>
      <c r="J1122" s="73"/>
      <c r="K1122" s="73"/>
      <c r="L1122" s="73"/>
      <c r="M1122" s="73"/>
      <c r="N1122" s="12"/>
      <c r="O1122" s="12"/>
      <c r="P1122" s="12"/>
      <c r="Q1122" s="12"/>
      <c r="R1122" s="12"/>
      <c r="S1122" s="12"/>
      <c r="T1122" s="12"/>
      <c r="U1122" s="5"/>
      <c r="V1122" s="5"/>
      <c r="W1122" s="5"/>
      <c r="X1122" s="5"/>
      <c r="Y1122" s="5"/>
      <c r="Z1122" s="5"/>
      <c r="AA1122" s="69"/>
      <c r="AB1122" s="69"/>
      <c r="AC1122" s="5"/>
      <c r="AD1122" s="88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  <c r="GO1122" s="5"/>
      <c r="GP1122" s="5"/>
      <c r="GQ1122" s="5"/>
      <c r="GR1122" s="5"/>
      <c r="GS1122" s="5"/>
      <c r="GT1122" s="5"/>
      <c r="GU1122" s="5"/>
      <c r="GV1122" s="5"/>
      <c r="GW1122" s="5"/>
      <c r="GX1122" s="5"/>
      <c r="GY1122" s="5"/>
      <c r="GZ1122" s="5"/>
      <c r="HA1122" s="5"/>
      <c r="HB1122" s="5"/>
      <c r="HC1122" s="5"/>
      <c r="HD1122" s="5"/>
      <c r="HE1122" s="5"/>
      <c r="HF1122" s="5"/>
      <c r="HG1122" s="5"/>
      <c r="HH1122" s="5"/>
      <c r="HI1122" s="5"/>
      <c r="HJ1122" s="5"/>
      <c r="HK1122" s="5"/>
      <c r="HL1122" s="5"/>
      <c r="HM1122" s="5"/>
      <c r="HN1122" s="5"/>
      <c r="HO1122" s="5"/>
      <c r="HP1122" s="5"/>
      <c r="HQ1122" s="5"/>
      <c r="HR1122" s="5"/>
      <c r="HS1122" s="5"/>
      <c r="HT1122" s="5"/>
      <c r="HU1122" s="5"/>
      <c r="HV1122" s="5"/>
      <c r="HW1122" s="5"/>
      <c r="HX1122" s="5"/>
      <c r="HY1122" s="5"/>
      <c r="HZ1122" s="5"/>
      <c r="IA1122" s="5"/>
      <c r="IB1122" s="5"/>
      <c r="IC1122" s="5"/>
      <c r="ID1122" s="5"/>
      <c r="IE1122" s="5"/>
      <c r="IF1122" s="5"/>
      <c r="IG1122" s="5"/>
      <c r="IH1122" s="5"/>
      <c r="II1122" s="5"/>
      <c r="IJ1122" s="5"/>
      <c r="IK1122" s="5"/>
      <c r="IL1122" s="5"/>
      <c r="IM1122" s="5"/>
      <c r="IN1122" s="5"/>
      <c r="IO1122" s="5"/>
      <c r="IP1122" s="5"/>
      <c r="IQ1122" s="5"/>
      <c r="IR1122" s="5"/>
      <c r="IS1122" s="5"/>
      <c r="IT1122" s="5"/>
      <c r="IU1122" s="5"/>
      <c r="IV1122" s="5"/>
    </row>
    <row r="1123" spans="1:256" ht="23.1" customHeight="1" x14ac:dyDescent="0.25">
      <c r="A1123" s="5"/>
      <c r="B1123" s="288"/>
      <c r="C1123" s="12"/>
      <c r="D1123" s="12"/>
      <c r="E1123" s="12"/>
      <c r="F1123" s="12"/>
      <c r="G1123" s="12"/>
      <c r="H1123" s="12"/>
      <c r="I1123" s="12"/>
      <c r="J1123" s="73"/>
      <c r="K1123" s="73"/>
      <c r="L1123" s="73"/>
      <c r="M1123" s="73"/>
      <c r="N1123" s="12"/>
      <c r="O1123" s="12"/>
      <c r="P1123" s="12"/>
      <c r="Q1123" s="12"/>
      <c r="R1123" s="12"/>
      <c r="S1123" s="12"/>
      <c r="T1123" s="12"/>
      <c r="U1123" s="5"/>
      <c r="V1123" s="5"/>
      <c r="W1123" s="5"/>
      <c r="X1123" s="5"/>
      <c r="Y1123" s="5"/>
      <c r="Z1123" s="5"/>
      <c r="AA1123" s="69"/>
      <c r="AB1123" s="69"/>
      <c r="AC1123" s="5"/>
      <c r="AD1123" s="88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  <c r="GO1123" s="5"/>
      <c r="GP1123" s="5"/>
      <c r="GQ1123" s="5"/>
      <c r="GR1123" s="5"/>
      <c r="GS1123" s="5"/>
      <c r="GT1123" s="5"/>
      <c r="GU1123" s="5"/>
      <c r="GV1123" s="5"/>
      <c r="GW1123" s="5"/>
      <c r="GX1123" s="5"/>
      <c r="GY1123" s="5"/>
      <c r="GZ1123" s="5"/>
      <c r="HA1123" s="5"/>
      <c r="HB1123" s="5"/>
      <c r="HC1123" s="5"/>
      <c r="HD1123" s="5"/>
      <c r="HE1123" s="5"/>
      <c r="HF1123" s="5"/>
      <c r="HG1123" s="5"/>
      <c r="HH1123" s="5"/>
      <c r="HI1123" s="5"/>
      <c r="HJ1123" s="5"/>
      <c r="HK1123" s="5"/>
      <c r="HL1123" s="5"/>
      <c r="HM1123" s="5"/>
      <c r="HN1123" s="5"/>
      <c r="HO1123" s="5"/>
      <c r="HP1123" s="5"/>
      <c r="HQ1123" s="5"/>
      <c r="HR1123" s="5"/>
      <c r="HS1123" s="5"/>
      <c r="HT1123" s="5"/>
      <c r="HU1123" s="5"/>
      <c r="HV1123" s="5"/>
      <c r="HW1123" s="5"/>
      <c r="HX1123" s="5"/>
      <c r="HY1123" s="5"/>
      <c r="HZ1123" s="5"/>
      <c r="IA1123" s="5"/>
      <c r="IB1123" s="5"/>
      <c r="IC1123" s="5"/>
      <c r="ID1123" s="5"/>
      <c r="IE1123" s="5"/>
      <c r="IF1123" s="5"/>
      <c r="IG1123" s="5"/>
      <c r="IH1123" s="5"/>
      <c r="II1123" s="5"/>
      <c r="IJ1123" s="5"/>
      <c r="IK1123" s="5"/>
      <c r="IL1123" s="5"/>
      <c r="IM1123" s="5"/>
      <c r="IN1123" s="5"/>
      <c r="IO1123" s="5"/>
      <c r="IP1123" s="5"/>
      <c r="IQ1123" s="5"/>
      <c r="IR1123" s="5"/>
      <c r="IS1123" s="5"/>
      <c r="IT1123" s="5"/>
      <c r="IU1123" s="5"/>
      <c r="IV1123" s="5"/>
    </row>
    <row r="1124" spans="1:256" ht="23.1" customHeight="1" x14ac:dyDescent="0.25">
      <c r="A1124" s="5"/>
      <c r="B1124" s="288"/>
      <c r="C1124" s="12"/>
      <c r="D1124" s="12"/>
      <c r="E1124" s="12"/>
      <c r="F1124" s="12"/>
      <c r="G1124" s="12"/>
      <c r="H1124" s="12"/>
      <c r="I1124" s="12"/>
      <c r="J1124" s="73"/>
      <c r="K1124" s="73"/>
      <c r="L1124" s="73"/>
      <c r="M1124" s="73"/>
      <c r="N1124" s="12"/>
      <c r="O1124" s="12"/>
      <c r="P1124" s="12"/>
      <c r="Q1124" s="12"/>
      <c r="R1124" s="12"/>
      <c r="S1124" s="12"/>
      <c r="T1124" s="12"/>
      <c r="U1124" s="5"/>
      <c r="V1124" s="5"/>
      <c r="W1124" s="5"/>
      <c r="X1124" s="5"/>
      <c r="Y1124" s="5"/>
      <c r="Z1124" s="5"/>
      <c r="AA1124" s="69"/>
      <c r="AB1124" s="69"/>
      <c r="AC1124" s="5"/>
      <c r="AD1124" s="88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  <c r="GO1124" s="5"/>
      <c r="GP1124" s="5"/>
      <c r="GQ1124" s="5"/>
      <c r="GR1124" s="5"/>
      <c r="GS1124" s="5"/>
      <c r="GT1124" s="5"/>
      <c r="GU1124" s="5"/>
      <c r="GV1124" s="5"/>
      <c r="GW1124" s="5"/>
      <c r="GX1124" s="5"/>
      <c r="GY1124" s="5"/>
      <c r="GZ1124" s="5"/>
      <c r="HA1124" s="5"/>
      <c r="HB1124" s="5"/>
      <c r="HC1124" s="5"/>
      <c r="HD1124" s="5"/>
      <c r="HE1124" s="5"/>
      <c r="HF1124" s="5"/>
      <c r="HG1124" s="5"/>
      <c r="HH1124" s="5"/>
      <c r="HI1124" s="5"/>
      <c r="HJ1124" s="5"/>
      <c r="HK1124" s="5"/>
      <c r="HL1124" s="5"/>
      <c r="HM1124" s="5"/>
      <c r="HN1124" s="5"/>
      <c r="HO1124" s="5"/>
      <c r="HP1124" s="5"/>
      <c r="HQ1124" s="5"/>
      <c r="HR1124" s="5"/>
      <c r="HS1124" s="5"/>
      <c r="HT1124" s="5"/>
      <c r="HU1124" s="5"/>
      <c r="HV1124" s="5"/>
      <c r="HW1124" s="5"/>
      <c r="HX1124" s="5"/>
      <c r="HY1124" s="5"/>
      <c r="HZ1124" s="5"/>
      <c r="IA1124" s="5"/>
      <c r="IB1124" s="5"/>
      <c r="IC1124" s="5"/>
      <c r="ID1124" s="5"/>
      <c r="IE1124" s="5"/>
      <c r="IF1124" s="5"/>
      <c r="IG1124" s="5"/>
      <c r="IH1124" s="5"/>
      <c r="II1124" s="5"/>
      <c r="IJ1124" s="5"/>
      <c r="IK1124" s="5"/>
      <c r="IL1124" s="5"/>
      <c r="IM1124" s="5"/>
      <c r="IN1124" s="5"/>
      <c r="IO1124" s="5"/>
      <c r="IP1124" s="5"/>
      <c r="IQ1124" s="5"/>
      <c r="IR1124" s="5"/>
      <c r="IS1124" s="5"/>
      <c r="IT1124" s="5"/>
      <c r="IU1124" s="5"/>
      <c r="IV1124" s="5"/>
    </row>
    <row r="1125" spans="1:256" ht="23.1" customHeight="1" x14ac:dyDescent="0.25">
      <c r="A1125" s="5"/>
      <c r="B1125" s="288"/>
      <c r="C1125" s="12"/>
      <c r="D1125" s="12"/>
      <c r="E1125" s="12"/>
      <c r="F1125" s="12"/>
      <c r="G1125" s="12"/>
      <c r="H1125" s="12"/>
      <c r="I1125" s="12"/>
      <c r="J1125" s="73"/>
      <c r="K1125" s="73"/>
      <c r="L1125" s="73"/>
      <c r="M1125" s="73"/>
      <c r="N1125" s="12"/>
      <c r="O1125" s="12"/>
      <c r="P1125" s="12"/>
      <c r="Q1125" s="12"/>
      <c r="R1125" s="12"/>
      <c r="S1125" s="12"/>
      <c r="T1125" s="12"/>
      <c r="U1125" s="5"/>
      <c r="V1125" s="5"/>
      <c r="W1125" s="5"/>
      <c r="X1125" s="5"/>
      <c r="Y1125" s="5"/>
      <c r="Z1125" s="5"/>
      <c r="AA1125" s="69"/>
      <c r="AB1125" s="69"/>
      <c r="AC1125" s="5"/>
      <c r="AD1125" s="88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  <c r="GO1125" s="5"/>
      <c r="GP1125" s="5"/>
      <c r="GQ1125" s="5"/>
      <c r="GR1125" s="5"/>
      <c r="GS1125" s="5"/>
      <c r="GT1125" s="5"/>
      <c r="GU1125" s="5"/>
      <c r="GV1125" s="5"/>
      <c r="GW1125" s="5"/>
      <c r="GX1125" s="5"/>
      <c r="GY1125" s="5"/>
      <c r="GZ1125" s="5"/>
      <c r="HA1125" s="5"/>
      <c r="HB1125" s="5"/>
      <c r="HC1125" s="5"/>
      <c r="HD1125" s="5"/>
      <c r="HE1125" s="5"/>
      <c r="HF1125" s="5"/>
      <c r="HG1125" s="5"/>
      <c r="HH1125" s="5"/>
      <c r="HI1125" s="5"/>
      <c r="HJ1125" s="5"/>
      <c r="HK1125" s="5"/>
      <c r="HL1125" s="5"/>
      <c r="HM1125" s="5"/>
      <c r="HN1125" s="5"/>
      <c r="HO1125" s="5"/>
      <c r="HP1125" s="5"/>
      <c r="HQ1125" s="5"/>
      <c r="HR1125" s="5"/>
      <c r="HS1125" s="5"/>
      <c r="HT1125" s="5"/>
      <c r="HU1125" s="5"/>
      <c r="HV1125" s="5"/>
      <c r="HW1125" s="5"/>
      <c r="HX1125" s="5"/>
      <c r="HY1125" s="5"/>
      <c r="HZ1125" s="5"/>
      <c r="IA1125" s="5"/>
      <c r="IB1125" s="5"/>
      <c r="IC1125" s="5"/>
      <c r="ID1125" s="5"/>
      <c r="IE1125" s="5"/>
      <c r="IF1125" s="5"/>
      <c r="IG1125" s="5"/>
      <c r="IH1125" s="5"/>
      <c r="II1125" s="5"/>
      <c r="IJ1125" s="5"/>
      <c r="IK1125" s="5"/>
      <c r="IL1125" s="5"/>
      <c r="IM1125" s="5"/>
      <c r="IN1125" s="5"/>
      <c r="IO1125" s="5"/>
      <c r="IP1125" s="5"/>
      <c r="IQ1125" s="5"/>
      <c r="IR1125" s="5"/>
      <c r="IS1125" s="5"/>
      <c r="IT1125" s="5"/>
      <c r="IU1125" s="5"/>
      <c r="IV1125" s="5"/>
    </row>
    <row r="1126" spans="1:256" ht="23.1" customHeight="1" x14ac:dyDescent="0.25">
      <c r="A1126" s="5"/>
      <c r="B1126" s="288"/>
      <c r="C1126" s="12"/>
      <c r="D1126" s="12"/>
      <c r="E1126" s="12"/>
      <c r="F1126" s="12"/>
      <c r="G1126" s="12"/>
      <c r="H1126" s="12"/>
      <c r="I1126" s="12"/>
      <c r="J1126" s="73"/>
      <c r="K1126" s="73"/>
      <c r="L1126" s="73"/>
      <c r="M1126" s="73"/>
      <c r="N1126" s="12"/>
      <c r="O1126" s="12"/>
      <c r="P1126" s="12"/>
      <c r="Q1126" s="12"/>
      <c r="R1126" s="12"/>
      <c r="S1126" s="12"/>
      <c r="T1126" s="12"/>
      <c r="U1126" s="5"/>
      <c r="V1126" s="5"/>
      <c r="W1126" s="5"/>
      <c r="X1126" s="5"/>
      <c r="Y1126" s="5"/>
      <c r="Z1126" s="5"/>
      <c r="AA1126" s="69"/>
      <c r="AB1126" s="69"/>
      <c r="AC1126" s="5"/>
      <c r="AD1126" s="88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  <c r="GO1126" s="5"/>
      <c r="GP1126" s="5"/>
      <c r="GQ1126" s="5"/>
      <c r="GR1126" s="5"/>
      <c r="GS1126" s="5"/>
      <c r="GT1126" s="5"/>
      <c r="GU1126" s="5"/>
      <c r="GV1126" s="5"/>
      <c r="GW1126" s="5"/>
      <c r="GX1126" s="5"/>
      <c r="GY1126" s="5"/>
      <c r="GZ1126" s="5"/>
      <c r="HA1126" s="5"/>
      <c r="HB1126" s="5"/>
      <c r="HC1126" s="5"/>
      <c r="HD1126" s="5"/>
      <c r="HE1126" s="5"/>
      <c r="HF1126" s="5"/>
      <c r="HG1126" s="5"/>
      <c r="HH1126" s="5"/>
      <c r="HI1126" s="5"/>
      <c r="HJ1126" s="5"/>
      <c r="HK1126" s="5"/>
      <c r="HL1126" s="5"/>
      <c r="HM1126" s="5"/>
      <c r="HN1126" s="5"/>
      <c r="HO1126" s="5"/>
      <c r="HP1126" s="5"/>
      <c r="HQ1126" s="5"/>
      <c r="HR1126" s="5"/>
      <c r="HS1126" s="5"/>
      <c r="HT1126" s="5"/>
      <c r="HU1126" s="5"/>
      <c r="HV1126" s="5"/>
      <c r="HW1126" s="5"/>
      <c r="HX1126" s="5"/>
      <c r="HY1126" s="5"/>
      <c r="HZ1126" s="5"/>
      <c r="IA1126" s="5"/>
      <c r="IB1126" s="5"/>
      <c r="IC1126" s="5"/>
      <c r="ID1126" s="5"/>
      <c r="IE1126" s="5"/>
      <c r="IF1126" s="5"/>
      <c r="IG1126" s="5"/>
      <c r="IH1126" s="5"/>
      <c r="II1126" s="5"/>
      <c r="IJ1126" s="5"/>
      <c r="IK1126" s="5"/>
      <c r="IL1126" s="5"/>
      <c r="IM1126" s="5"/>
      <c r="IN1126" s="5"/>
      <c r="IO1126" s="5"/>
      <c r="IP1126" s="5"/>
      <c r="IQ1126" s="5"/>
      <c r="IR1126" s="5"/>
      <c r="IS1126" s="5"/>
      <c r="IT1126" s="5"/>
      <c r="IU1126" s="5"/>
      <c r="IV1126" s="5"/>
    </row>
    <row r="1127" spans="1:256" ht="23.1" customHeight="1" x14ac:dyDescent="0.25">
      <c r="A1127" s="5"/>
      <c r="B1127" s="288"/>
      <c r="C1127" s="12"/>
      <c r="D1127" s="12"/>
      <c r="E1127" s="12"/>
      <c r="F1127" s="12"/>
      <c r="G1127" s="12"/>
      <c r="H1127" s="12"/>
      <c r="I1127" s="12"/>
      <c r="J1127" s="73"/>
      <c r="K1127" s="73"/>
      <c r="L1127" s="73"/>
      <c r="M1127" s="73"/>
      <c r="N1127" s="12"/>
      <c r="O1127" s="12"/>
      <c r="P1127" s="12"/>
      <c r="Q1127" s="12"/>
      <c r="R1127" s="12"/>
      <c r="S1127" s="12"/>
      <c r="T1127" s="12"/>
      <c r="U1127" s="5"/>
      <c r="V1127" s="5"/>
      <c r="W1127" s="5"/>
      <c r="X1127" s="5"/>
      <c r="Y1127" s="5"/>
      <c r="Z1127" s="5"/>
      <c r="AA1127" s="69"/>
      <c r="AB1127" s="69"/>
      <c r="AC1127" s="5"/>
      <c r="AD1127" s="88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  <c r="GO1127" s="5"/>
      <c r="GP1127" s="5"/>
      <c r="GQ1127" s="5"/>
      <c r="GR1127" s="5"/>
      <c r="GS1127" s="5"/>
      <c r="GT1127" s="5"/>
      <c r="GU1127" s="5"/>
      <c r="GV1127" s="5"/>
      <c r="GW1127" s="5"/>
      <c r="GX1127" s="5"/>
      <c r="GY1127" s="5"/>
      <c r="GZ1127" s="5"/>
      <c r="HA1127" s="5"/>
      <c r="HB1127" s="5"/>
      <c r="HC1127" s="5"/>
      <c r="HD1127" s="5"/>
      <c r="HE1127" s="5"/>
      <c r="HF1127" s="5"/>
      <c r="HG1127" s="5"/>
      <c r="HH1127" s="5"/>
      <c r="HI1127" s="5"/>
      <c r="HJ1127" s="5"/>
      <c r="HK1127" s="5"/>
      <c r="HL1127" s="5"/>
      <c r="HM1127" s="5"/>
      <c r="HN1127" s="5"/>
      <c r="HO1127" s="5"/>
      <c r="HP1127" s="5"/>
      <c r="HQ1127" s="5"/>
      <c r="HR1127" s="5"/>
      <c r="HS1127" s="5"/>
      <c r="HT1127" s="5"/>
      <c r="HU1127" s="5"/>
      <c r="HV1127" s="5"/>
      <c r="HW1127" s="5"/>
      <c r="HX1127" s="5"/>
      <c r="HY1127" s="5"/>
      <c r="HZ1127" s="5"/>
      <c r="IA1127" s="5"/>
      <c r="IB1127" s="5"/>
      <c r="IC1127" s="5"/>
      <c r="ID1127" s="5"/>
      <c r="IE1127" s="5"/>
      <c r="IF1127" s="5"/>
      <c r="IG1127" s="5"/>
      <c r="IH1127" s="5"/>
      <c r="II1127" s="5"/>
      <c r="IJ1127" s="5"/>
      <c r="IK1127" s="5"/>
      <c r="IL1127" s="5"/>
      <c r="IM1127" s="5"/>
      <c r="IN1127" s="5"/>
      <c r="IO1127" s="5"/>
      <c r="IP1127" s="5"/>
      <c r="IQ1127" s="5"/>
      <c r="IR1127" s="5"/>
      <c r="IS1127" s="5"/>
      <c r="IT1127" s="5"/>
      <c r="IU1127" s="5"/>
      <c r="IV1127" s="5"/>
    </row>
    <row r="1128" spans="1:256" ht="23.1" customHeight="1" x14ac:dyDescent="0.25">
      <c r="A1128" s="5"/>
      <c r="B1128" s="288"/>
      <c r="C1128" s="12"/>
      <c r="D1128" s="12"/>
      <c r="E1128" s="12"/>
      <c r="F1128" s="12"/>
      <c r="G1128" s="12"/>
      <c r="H1128" s="12"/>
      <c r="I1128" s="12"/>
      <c r="J1128" s="73"/>
      <c r="K1128" s="73"/>
      <c r="L1128" s="73"/>
      <c r="M1128" s="73"/>
      <c r="N1128" s="12"/>
      <c r="O1128" s="12"/>
      <c r="P1128" s="12"/>
      <c r="Q1128" s="12"/>
      <c r="R1128" s="12"/>
      <c r="S1128" s="12"/>
      <c r="T1128" s="12"/>
      <c r="U1128" s="5"/>
      <c r="V1128" s="5"/>
      <c r="W1128" s="5"/>
      <c r="X1128" s="5"/>
      <c r="Y1128" s="5"/>
      <c r="Z1128" s="5"/>
      <c r="AA1128" s="69"/>
      <c r="AB1128" s="69"/>
      <c r="AC1128" s="5"/>
      <c r="AD1128" s="88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  <c r="GO1128" s="5"/>
      <c r="GP1128" s="5"/>
      <c r="GQ1128" s="5"/>
      <c r="GR1128" s="5"/>
      <c r="GS1128" s="5"/>
      <c r="GT1128" s="5"/>
      <c r="GU1128" s="5"/>
      <c r="GV1128" s="5"/>
      <c r="GW1128" s="5"/>
      <c r="GX1128" s="5"/>
      <c r="GY1128" s="5"/>
      <c r="GZ1128" s="5"/>
      <c r="HA1128" s="5"/>
      <c r="HB1128" s="5"/>
      <c r="HC1128" s="5"/>
      <c r="HD1128" s="5"/>
      <c r="HE1128" s="5"/>
      <c r="HF1128" s="5"/>
      <c r="HG1128" s="5"/>
      <c r="HH1128" s="5"/>
      <c r="HI1128" s="5"/>
      <c r="HJ1128" s="5"/>
      <c r="HK1128" s="5"/>
      <c r="HL1128" s="5"/>
      <c r="HM1128" s="5"/>
      <c r="HN1128" s="5"/>
      <c r="HO1128" s="5"/>
      <c r="HP1128" s="5"/>
      <c r="HQ1128" s="5"/>
      <c r="HR1128" s="5"/>
      <c r="HS1128" s="5"/>
      <c r="HT1128" s="5"/>
      <c r="HU1128" s="5"/>
      <c r="HV1128" s="5"/>
      <c r="HW1128" s="5"/>
      <c r="HX1128" s="5"/>
      <c r="HY1128" s="5"/>
      <c r="HZ1128" s="5"/>
      <c r="IA1128" s="5"/>
      <c r="IB1128" s="5"/>
      <c r="IC1128" s="5"/>
      <c r="ID1128" s="5"/>
      <c r="IE1128" s="5"/>
      <c r="IF1128" s="5"/>
      <c r="IG1128" s="5"/>
      <c r="IH1128" s="5"/>
      <c r="II1128" s="5"/>
      <c r="IJ1128" s="5"/>
      <c r="IK1128" s="5"/>
      <c r="IL1128" s="5"/>
      <c r="IM1128" s="5"/>
      <c r="IN1128" s="5"/>
      <c r="IO1128" s="5"/>
      <c r="IP1128" s="5"/>
      <c r="IQ1128" s="5"/>
      <c r="IR1128" s="5"/>
      <c r="IS1128" s="5"/>
      <c r="IT1128" s="5"/>
      <c r="IU1128" s="5"/>
      <c r="IV1128" s="5"/>
    </row>
    <row r="1129" spans="1:256" ht="23.1" customHeight="1" x14ac:dyDescent="0.25">
      <c r="A1129" s="5"/>
      <c r="B1129" s="288"/>
      <c r="C1129" s="12"/>
      <c r="D1129" s="12"/>
      <c r="E1129" s="12"/>
      <c r="F1129" s="12"/>
      <c r="G1129" s="12"/>
      <c r="H1129" s="12"/>
      <c r="I1129" s="12"/>
      <c r="J1129" s="73"/>
      <c r="K1129" s="73"/>
      <c r="L1129" s="73"/>
      <c r="M1129" s="73"/>
      <c r="N1129" s="12"/>
      <c r="O1129" s="12"/>
      <c r="P1129" s="12"/>
      <c r="Q1129" s="12"/>
      <c r="R1129" s="12"/>
      <c r="S1129" s="12"/>
      <c r="T1129" s="12"/>
      <c r="U1129" s="5"/>
      <c r="V1129" s="5"/>
      <c r="W1129" s="5"/>
      <c r="X1129" s="5"/>
      <c r="Y1129" s="5"/>
      <c r="Z1129" s="5"/>
      <c r="AA1129" s="69"/>
      <c r="AB1129" s="69"/>
      <c r="AC1129" s="5"/>
      <c r="AD1129" s="88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  <c r="GO1129" s="5"/>
      <c r="GP1129" s="5"/>
      <c r="GQ1129" s="5"/>
      <c r="GR1129" s="5"/>
      <c r="GS1129" s="5"/>
      <c r="GT1129" s="5"/>
      <c r="GU1129" s="5"/>
      <c r="GV1129" s="5"/>
      <c r="GW1129" s="5"/>
      <c r="GX1129" s="5"/>
      <c r="GY1129" s="5"/>
      <c r="GZ1129" s="5"/>
      <c r="HA1129" s="5"/>
      <c r="HB1129" s="5"/>
      <c r="HC1129" s="5"/>
      <c r="HD1129" s="5"/>
      <c r="HE1129" s="5"/>
      <c r="HF1129" s="5"/>
      <c r="HG1129" s="5"/>
      <c r="HH1129" s="5"/>
      <c r="HI1129" s="5"/>
      <c r="HJ1129" s="5"/>
      <c r="HK1129" s="5"/>
      <c r="HL1129" s="5"/>
      <c r="HM1129" s="5"/>
      <c r="HN1129" s="5"/>
      <c r="HO1129" s="5"/>
      <c r="HP1129" s="5"/>
      <c r="HQ1129" s="5"/>
      <c r="HR1129" s="5"/>
      <c r="HS1129" s="5"/>
      <c r="HT1129" s="5"/>
      <c r="HU1129" s="5"/>
      <c r="HV1129" s="5"/>
      <c r="HW1129" s="5"/>
      <c r="HX1129" s="5"/>
      <c r="HY1129" s="5"/>
      <c r="HZ1129" s="5"/>
      <c r="IA1129" s="5"/>
      <c r="IB1129" s="5"/>
      <c r="IC1129" s="5"/>
      <c r="ID1129" s="5"/>
      <c r="IE1129" s="5"/>
      <c r="IF1129" s="5"/>
      <c r="IG1129" s="5"/>
      <c r="IH1129" s="5"/>
      <c r="II1129" s="5"/>
      <c r="IJ1129" s="5"/>
      <c r="IK1129" s="5"/>
      <c r="IL1129" s="5"/>
      <c r="IM1129" s="5"/>
      <c r="IN1129" s="5"/>
      <c r="IO1129" s="5"/>
      <c r="IP1129" s="5"/>
      <c r="IQ1129" s="5"/>
      <c r="IR1129" s="5"/>
      <c r="IS1129" s="5"/>
      <c r="IT1129" s="5"/>
      <c r="IU1129" s="5"/>
      <c r="IV1129" s="5"/>
    </row>
    <row r="1130" spans="1:256" ht="23.1" customHeight="1" x14ac:dyDescent="0.25">
      <c r="A1130" s="5"/>
      <c r="B1130" s="288"/>
      <c r="C1130" s="12"/>
      <c r="D1130" s="12"/>
      <c r="E1130" s="12"/>
      <c r="F1130" s="12"/>
      <c r="G1130" s="12"/>
      <c r="H1130" s="12"/>
      <c r="I1130" s="12"/>
      <c r="J1130" s="73"/>
      <c r="K1130" s="73"/>
      <c r="L1130" s="73"/>
      <c r="M1130" s="73"/>
      <c r="N1130" s="12"/>
      <c r="O1130" s="12"/>
      <c r="P1130" s="12"/>
      <c r="Q1130" s="12"/>
      <c r="R1130" s="12"/>
      <c r="S1130" s="12"/>
      <c r="T1130" s="12"/>
      <c r="U1130" s="5"/>
      <c r="V1130" s="5"/>
      <c r="W1130" s="5"/>
      <c r="X1130" s="5"/>
      <c r="Y1130" s="5"/>
      <c r="Z1130" s="5"/>
      <c r="AA1130" s="69"/>
      <c r="AB1130" s="69"/>
      <c r="AC1130" s="5"/>
      <c r="AD1130" s="88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  <c r="GO1130" s="5"/>
      <c r="GP1130" s="5"/>
      <c r="GQ1130" s="5"/>
      <c r="GR1130" s="5"/>
      <c r="GS1130" s="5"/>
      <c r="GT1130" s="5"/>
      <c r="GU1130" s="5"/>
      <c r="GV1130" s="5"/>
      <c r="GW1130" s="5"/>
      <c r="GX1130" s="5"/>
      <c r="GY1130" s="5"/>
      <c r="GZ1130" s="5"/>
      <c r="HA1130" s="5"/>
      <c r="HB1130" s="5"/>
      <c r="HC1130" s="5"/>
      <c r="HD1130" s="5"/>
      <c r="HE1130" s="5"/>
      <c r="HF1130" s="5"/>
      <c r="HG1130" s="5"/>
      <c r="HH1130" s="5"/>
      <c r="HI1130" s="5"/>
      <c r="HJ1130" s="5"/>
      <c r="HK1130" s="5"/>
      <c r="HL1130" s="5"/>
      <c r="HM1130" s="5"/>
      <c r="HN1130" s="5"/>
      <c r="HO1130" s="5"/>
      <c r="HP1130" s="5"/>
      <c r="HQ1130" s="5"/>
      <c r="HR1130" s="5"/>
      <c r="HS1130" s="5"/>
      <c r="HT1130" s="5"/>
      <c r="HU1130" s="5"/>
      <c r="HV1130" s="5"/>
      <c r="HW1130" s="5"/>
      <c r="HX1130" s="5"/>
      <c r="HY1130" s="5"/>
      <c r="HZ1130" s="5"/>
      <c r="IA1130" s="5"/>
      <c r="IB1130" s="5"/>
      <c r="IC1130" s="5"/>
      <c r="ID1130" s="5"/>
      <c r="IE1130" s="5"/>
      <c r="IF1130" s="5"/>
      <c r="IG1130" s="5"/>
      <c r="IH1130" s="5"/>
      <c r="II1130" s="5"/>
      <c r="IJ1130" s="5"/>
      <c r="IK1130" s="5"/>
      <c r="IL1130" s="5"/>
      <c r="IM1130" s="5"/>
      <c r="IN1130" s="5"/>
      <c r="IO1130" s="5"/>
      <c r="IP1130" s="5"/>
      <c r="IQ1130" s="5"/>
      <c r="IR1130" s="5"/>
      <c r="IS1130" s="5"/>
      <c r="IT1130" s="5"/>
      <c r="IU1130" s="5"/>
      <c r="IV1130" s="5"/>
    </row>
    <row r="1131" spans="1:256" ht="23.1" customHeight="1" x14ac:dyDescent="0.25">
      <c r="A1131" s="5"/>
      <c r="B1131" s="288"/>
      <c r="C1131" s="12"/>
      <c r="D1131" s="12"/>
      <c r="E1131" s="12"/>
      <c r="F1131" s="12"/>
      <c r="G1131" s="12"/>
      <c r="H1131" s="12"/>
      <c r="I1131" s="12"/>
      <c r="J1131" s="73"/>
      <c r="K1131" s="73"/>
      <c r="L1131" s="73"/>
      <c r="M1131" s="73"/>
      <c r="N1131" s="12"/>
      <c r="O1131" s="12"/>
      <c r="P1131" s="12"/>
      <c r="Q1131" s="12"/>
      <c r="R1131" s="12"/>
      <c r="S1131" s="12"/>
      <c r="T1131" s="12"/>
      <c r="U1131" s="5"/>
      <c r="V1131" s="5"/>
      <c r="W1131" s="5"/>
      <c r="X1131" s="5"/>
      <c r="Y1131" s="5"/>
      <c r="Z1131" s="5"/>
      <c r="AA1131" s="69"/>
      <c r="AB1131" s="69"/>
      <c r="AC1131" s="5"/>
      <c r="AD1131" s="88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  <c r="GO1131" s="5"/>
      <c r="GP1131" s="5"/>
      <c r="GQ1131" s="5"/>
      <c r="GR1131" s="5"/>
      <c r="GS1131" s="5"/>
      <c r="GT1131" s="5"/>
      <c r="GU1131" s="5"/>
      <c r="GV1131" s="5"/>
      <c r="GW1131" s="5"/>
      <c r="GX1131" s="5"/>
      <c r="GY1131" s="5"/>
      <c r="GZ1131" s="5"/>
      <c r="HA1131" s="5"/>
      <c r="HB1131" s="5"/>
      <c r="HC1131" s="5"/>
      <c r="HD1131" s="5"/>
      <c r="HE1131" s="5"/>
      <c r="HF1131" s="5"/>
      <c r="HG1131" s="5"/>
      <c r="HH1131" s="5"/>
      <c r="HI1131" s="5"/>
      <c r="HJ1131" s="5"/>
      <c r="HK1131" s="5"/>
      <c r="HL1131" s="5"/>
      <c r="HM1131" s="5"/>
      <c r="HN1131" s="5"/>
      <c r="HO1131" s="5"/>
      <c r="HP1131" s="5"/>
      <c r="HQ1131" s="5"/>
      <c r="HR1131" s="5"/>
      <c r="HS1131" s="5"/>
      <c r="HT1131" s="5"/>
      <c r="HU1131" s="5"/>
      <c r="HV1131" s="5"/>
      <c r="HW1131" s="5"/>
      <c r="HX1131" s="5"/>
      <c r="HY1131" s="5"/>
      <c r="HZ1131" s="5"/>
      <c r="IA1131" s="5"/>
      <c r="IB1131" s="5"/>
      <c r="IC1131" s="5"/>
      <c r="ID1131" s="5"/>
      <c r="IE1131" s="5"/>
      <c r="IF1131" s="5"/>
      <c r="IG1131" s="5"/>
      <c r="IH1131" s="5"/>
      <c r="II1131" s="5"/>
      <c r="IJ1131" s="5"/>
      <c r="IK1131" s="5"/>
      <c r="IL1131" s="5"/>
      <c r="IM1131" s="5"/>
      <c r="IN1131" s="5"/>
      <c r="IO1131" s="5"/>
      <c r="IP1131" s="5"/>
      <c r="IQ1131" s="5"/>
      <c r="IR1131" s="5"/>
      <c r="IS1131" s="5"/>
      <c r="IT1131" s="5"/>
      <c r="IU1131" s="5"/>
      <c r="IV1131" s="5"/>
    </row>
    <row r="1132" spans="1:256" ht="23.1" customHeight="1" x14ac:dyDescent="0.25">
      <c r="A1132" s="5"/>
      <c r="B1132" s="288"/>
      <c r="C1132" s="12"/>
      <c r="D1132" s="12"/>
      <c r="E1132" s="12"/>
      <c r="F1132" s="12"/>
      <c r="G1132" s="12"/>
      <c r="H1132" s="12"/>
      <c r="I1132" s="12"/>
      <c r="J1132" s="73"/>
      <c r="K1132" s="73"/>
      <c r="L1132" s="73"/>
      <c r="M1132" s="73"/>
      <c r="N1132" s="12"/>
      <c r="O1132" s="12"/>
      <c r="P1132" s="12"/>
      <c r="Q1132" s="12"/>
      <c r="R1132" s="12"/>
      <c r="S1132" s="12"/>
      <c r="T1132" s="12"/>
      <c r="U1132" s="5"/>
      <c r="V1132" s="5"/>
      <c r="W1132" s="5"/>
      <c r="X1132" s="5"/>
      <c r="Y1132" s="5"/>
      <c r="Z1132" s="5"/>
      <c r="AA1132" s="69"/>
      <c r="AB1132" s="69"/>
      <c r="AC1132" s="5"/>
      <c r="AD1132" s="88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  <c r="GO1132" s="5"/>
      <c r="GP1132" s="5"/>
      <c r="GQ1132" s="5"/>
      <c r="GR1132" s="5"/>
      <c r="GS1132" s="5"/>
      <c r="GT1132" s="5"/>
      <c r="GU1132" s="5"/>
      <c r="GV1132" s="5"/>
      <c r="GW1132" s="5"/>
      <c r="GX1132" s="5"/>
      <c r="GY1132" s="5"/>
      <c r="GZ1132" s="5"/>
      <c r="HA1132" s="5"/>
      <c r="HB1132" s="5"/>
      <c r="HC1132" s="5"/>
      <c r="HD1132" s="5"/>
      <c r="HE1132" s="5"/>
      <c r="HF1132" s="5"/>
      <c r="HG1132" s="5"/>
      <c r="HH1132" s="5"/>
      <c r="HI1132" s="5"/>
      <c r="HJ1132" s="5"/>
      <c r="HK1132" s="5"/>
      <c r="HL1132" s="5"/>
      <c r="HM1132" s="5"/>
      <c r="HN1132" s="5"/>
      <c r="HO1132" s="5"/>
      <c r="HP1132" s="5"/>
      <c r="HQ1132" s="5"/>
      <c r="HR1132" s="5"/>
      <c r="HS1132" s="5"/>
      <c r="HT1132" s="5"/>
      <c r="HU1132" s="5"/>
      <c r="HV1132" s="5"/>
      <c r="HW1132" s="5"/>
      <c r="HX1132" s="5"/>
      <c r="HY1132" s="5"/>
      <c r="HZ1132" s="5"/>
      <c r="IA1132" s="5"/>
      <c r="IB1132" s="5"/>
      <c r="IC1132" s="5"/>
      <c r="ID1132" s="5"/>
      <c r="IE1132" s="5"/>
      <c r="IF1132" s="5"/>
      <c r="IG1132" s="5"/>
      <c r="IH1132" s="5"/>
      <c r="II1132" s="5"/>
      <c r="IJ1132" s="5"/>
      <c r="IK1132" s="5"/>
      <c r="IL1132" s="5"/>
      <c r="IM1132" s="5"/>
      <c r="IN1132" s="5"/>
      <c r="IO1132" s="5"/>
      <c r="IP1132" s="5"/>
      <c r="IQ1132" s="5"/>
      <c r="IR1132" s="5"/>
      <c r="IS1132" s="5"/>
      <c r="IT1132" s="5"/>
      <c r="IU1132" s="5"/>
      <c r="IV1132" s="5"/>
    </row>
    <row r="1133" spans="1:256" ht="23.1" customHeight="1" x14ac:dyDescent="0.25">
      <c r="A1133" s="5"/>
      <c r="B1133" s="288"/>
      <c r="C1133" s="12"/>
      <c r="D1133" s="12"/>
      <c r="E1133" s="12"/>
      <c r="F1133" s="12"/>
      <c r="G1133" s="12"/>
      <c r="H1133" s="12"/>
      <c r="I1133" s="12"/>
      <c r="J1133" s="73"/>
      <c r="K1133" s="73"/>
      <c r="L1133" s="73"/>
      <c r="M1133" s="73"/>
      <c r="N1133" s="12"/>
      <c r="O1133" s="12"/>
      <c r="P1133" s="12"/>
      <c r="Q1133" s="12"/>
      <c r="R1133" s="12"/>
      <c r="S1133" s="12"/>
      <c r="T1133" s="12"/>
      <c r="U1133" s="5"/>
      <c r="V1133" s="5"/>
      <c r="W1133" s="5"/>
      <c r="X1133" s="5"/>
      <c r="Y1133" s="5"/>
      <c r="Z1133" s="5"/>
      <c r="AA1133" s="69"/>
      <c r="AB1133" s="69"/>
      <c r="AC1133" s="5"/>
      <c r="AD1133" s="88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  <c r="GO1133" s="5"/>
      <c r="GP1133" s="5"/>
      <c r="GQ1133" s="5"/>
      <c r="GR1133" s="5"/>
      <c r="GS1133" s="5"/>
      <c r="GT1133" s="5"/>
      <c r="GU1133" s="5"/>
      <c r="GV1133" s="5"/>
      <c r="GW1133" s="5"/>
      <c r="GX1133" s="5"/>
      <c r="GY1133" s="5"/>
      <c r="GZ1133" s="5"/>
      <c r="HA1133" s="5"/>
      <c r="HB1133" s="5"/>
      <c r="HC1133" s="5"/>
      <c r="HD1133" s="5"/>
      <c r="HE1133" s="5"/>
      <c r="HF1133" s="5"/>
      <c r="HG1133" s="5"/>
      <c r="HH1133" s="5"/>
      <c r="HI1133" s="5"/>
      <c r="HJ1133" s="5"/>
      <c r="HK1133" s="5"/>
      <c r="HL1133" s="5"/>
      <c r="HM1133" s="5"/>
      <c r="HN1133" s="5"/>
      <c r="HO1133" s="5"/>
      <c r="HP1133" s="5"/>
      <c r="HQ1133" s="5"/>
      <c r="HR1133" s="5"/>
      <c r="HS1133" s="5"/>
      <c r="HT1133" s="5"/>
      <c r="HU1133" s="5"/>
      <c r="HV1133" s="5"/>
      <c r="HW1133" s="5"/>
      <c r="HX1133" s="5"/>
      <c r="HY1133" s="5"/>
      <c r="HZ1133" s="5"/>
      <c r="IA1133" s="5"/>
      <c r="IB1133" s="5"/>
      <c r="IC1133" s="5"/>
      <c r="ID1133" s="5"/>
      <c r="IE1133" s="5"/>
      <c r="IF1133" s="5"/>
      <c r="IG1133" s="5"/>
      <c r="IH1133" s="5"/>
      <c r="II1133" s="5"/>
      <c r="IJ1133" s="5"/>
      <c r="IK1133" s="5"/>
      <c r="IL1133" s="5"/>
      <c r="IM1133" s="5"/>
      <c r="IN1133" s="5"/>
      <c r="IO1133" s="5"/>
      <c r="IP1133" s="5"/>
      <c r="IQ1133" s="5"/>
      <c r="IR1133" s="5"/>
      <c r="IS1133" s="5"/>
      <c r="IT1133" s="5"/>
      <c r="IU1133" s="5"/>
      <c r="IV1133" s="5"/>
    </row>
    <row r="1134" spans="1:256" ht="23.1" customHeight="1" x14ac:dyDescent="0.25">
      <c r="A1134" s="5"/>
      <c r="B1134" s="288"/>
      <c r="C1134" s="12"/>
      <c r="D1134" s="12"/>
      <c r="E1134" s="12"/>
      <c r="F1134" s="12"/>
      <c r="G1134" s="12"/>
      <c r="H1134" s="12"/>
      <c r="I1134" s="12"/>
      <c r="J1134" s="73"/>
      <c r="K1134" s="73"/>
      <c r="L1134" s="73"/>
      <c r="M1134" s="73"/>
      <c r="N1134" s="12"/>
      <c r="O1134" s="12"/>
      <c r="P1134" s="12"/>
      <c r="Q1134" s="12"/>
      <c r="R1134" s="12"/>
      <c r="S1134" s="12"/>
      <c r="T1134" s="12"/>
      <c r="U1134" s="5"/>
      <c r="V1134" s="5"/>
      <c r="W1134" s="5"/>
      <c r="X1134" s="5"/>
      <c r="Y1134" s="5"/>
      <c r="Z1134" s="5"/>
      <c r="AA1134" s="69"/>
      <c r="AB1134" s="69"/>
      <c r="AC1134" s="5"/>
      <c r="AD1134" s="88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  <c r="GO1134" s="5"/>
      <c r="GP1134" s="5"/>
      <c r="GQ1134" s="5"/>
      <c r="GR1134" s="5"/>
      <c r="GS1134" s="5"/>
      <c r="GT1134" s="5"/>
      <c r="GU1134" s="5"/>
      <c r="GV1134" s="5"/>
      <c r="GW1134" s="5"/>
      <c r="GX1134" s="5"/>
      <c r="GY1134" s="5"/>
      <c r="GZ1134" s="5"/>
      <c r="HA1134" s="5"/>
      <c r="HB1134" s="5"/>
      <c r="HC1134" s="5"/>
      <c r="HD1134" s="5"/>
      <c r="HE1134" s="5"/>
      <c r="HF1134" s="5"/>
      <c r="HG1134" s="5"/>
      <c r="HH1134" s="5"/>
      <c r="HI1134" s="5"/>
      <c r="HJ1134" s="5"/>
      <c r="HK1134" s="5"/>
      <c r="HL1134" s="5"/>
      <c r="HM1134" s="5"/>
      <c r="HN1134" s="5"/>
      <c r="HO1134" s="5"/>
      <c r="HP1134" s="5"/>
      <c r="HQ1134" s="5"/>
      <c r="HR1134" s="5"/>
      <c r="HS1134" s="5"/>
      <c r="HT1134" s="5"/>
      <c r="HU1134" s="5"/>
      <c r="HV1134" s="5"/>
      <c r="HW1134" s="5"/>
      <c r="HX1134" s="5"/>
      <c r="HY1134" s="5"/>
      <c r="HZ1134" s="5"/>
      <c r="IA1134" s="5"/>
      <c r="IB1134" s="5"/>
      <c r="IC1134" s="5"/>
      <c r="ID1134" s="5"/>
      <c r="IE1134" s="5"/>
      <c r="IF1134" s="5"/>
      <c r="IG1134" s="5"/>
      <c r="IH1134" s="5"/>
      <c r="II1134" s="5"/>
      <c r="IJ1134" s="5"/>
      <c r="IK1134" s="5"/>
      <c r="IL1134" s="5"/>
      <c r="IM1134" s="5"/>
      <c r="IN1134" s="5"/>
      <c r="IO1134" s="5"/>
      <c r="IP1134" s="5"/>
      <c r="IQ1134" s="5"/>
      <c r="IR1134" s="5"/>
      <c r="IS1134" s="5"/>
      <c r="IT1134" s="5"/>
      <c r="IU1134" s="5"/>
      <c r="IV1134" s="5"/>
    </row>
    <row r="1135" spans="1:256" ht="23.1" customHeight="1" x14ac:dyDescent="0.25">
      <c r="A1135" s="5"/>
      <c r="B1135" s="288"/>
      <c r="C1135" s="12"/>
      <c r="D1135" s="12"/>
      <c r="E1135" s="12"/>
      <c r="F1135" s="12"/>
      <c r="G1135" s="12"/>
      <c r="H1135" s="12"/>
      <c r="I1135" s="12"/>
      <c r="J1135" s="73"/>
      <c r="K1135" s="73"/>
      <c r="L1135" s="73"/>
      <c r="M1135" s="73"/>
      <c r="N1135" s="12"/>
      <c r="O1135" s="12"/>
      <c r="P1135" s="12"/>
      <c r="Q1135" s="12"/>
      <c r="R1135" s="12"/>
      <c r="S1135" s="12"/>
      <c r="T1135" s="12"/>
      <c r="U1135" s="5"/>
      <c r="V1135" s="5"/>
      <c r="W1135" s="5"/>
      <c r="X1135" s="5"/>
      <c r="Y1135" s="5"/>
      <c r="Z1135" s="5"/>
      <c r="AA1135" s="69"/>
      <c r="AB1135" s="69"/>
      <c r="AC1135" s="5"/>
      <c r="AD1135" s="88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  <c r="GO1135" s="5"/>
      <c r="GP1135" s="5"/>
      <c r="GQ1135" s="5"/>
      <c r="GR1135" s="5"/>
      <c r="GS1135" s="5"/>
      <c r="GT1135" s="5"/>
      <c r="GU1135" s="5"/>
      <c r="GV1135" s="5"/>
      <c r="GW1135" s="5"/>
      <c r="GX1135" s="5"/>
      <c r="GY1135" s="5"/>
      <c r="GZ1135" s="5"/>
      <c r="HA1135" s="5"/>
      <c r="HB1135" s="5"/>
      <c r="HC1135" s="5"/>
      <c r="HD1135" s="5"/>
      <c r="HE1135" s="5"/>
      <c r="HF1135" s="5"/>
      <c r="HG1135" s="5"/>
      <c r="HH1135" s="5"/>
      <c r="HI1135" s="5"/>
      <c r="HJ1135" s="5"/>
      <c r="HK1135" s="5"/>
      <c r="HL1135" s="5"/>
      <c r="HM1135" s="5"/>
      <c r="HN1135" s="5"/>
      <c r="HO1135" s="5"/>
      <c r="HP1135" s="5"/>
      <c r="HQ1135" s="5"/>
      <c r="HR1135" s="5"/>
      <c r="HS1135" s="5"/>
      <c r="HT1135" s="5"/>
      <c r="HU1135" s="5"/>
      <c r="HV1135" s="5"/>
      <c r="HW1135" s="5"/>
      <c r="HX1135" s="5"/>
      <c r="HY1135" s="5"/>
      <c r="HZ1135" s="5"/>
      <c r="IA1135" s="5"/>
      <c r="IB1135" s="5"/>
      <c r="IC1135" s="5"/>
      <c r="ID1135" s="5"/>
      <c r="IE1135" s="5"/>
      <c r="IF1135" s="5"/>
      <c r="IG1135" s="5"/>
      <c r="IH1135" s="5"/>
      <c r="II1135" s="5"/>
      <c r="IJ1135" s="5"/>
      <c r="IK1135" s="5"/>
      <c r="IL1135" s="5"/>
      <c r="IM1135" s="5"/>
      <c r="IN1135" s="5"/>
      <c r="IO1135" s="5"/>
      <c r="IP1135" s="5"/>
      <c r="IQ1135" s="5"/>
      <c r="IR1135" s="5"/>
      <c r="IS1135" s="5"/>
      <c r="IT1135" s="5"/>
      <c r="IU1135" s="5"/>
      <c r="IV1135" s="5"/>
    </row>
    <row r="1136" spans="1:256" ht="23.1" customHeight="1" x14ac:dyDescent="0.25">
      <c r="A1136" s="5"/>
      <c r="B1136" s="288"/>
      <c r="C1136" s="12"/>
      <c r="D1136" s="12"/>
      <c r="E1136" s="12"/>
      <c r="F1136" s="12"/>
      <c r="G1136" s="12"/>
      <c r="H1136" s="12"/>
      <c r="I1136" s="12"/>
      <c r="J1136" s="73"/>
      <c r="K1136" s="73"/>
      <c r="L1136" s="73"/>
      <c r="M1136" s="73"/>
      <c r="N1136" s="12"/>
      <c r="O1136" s="12"/>
      <c r="P1136" s="12"/>
      <c r="Q1136" s="12"/>
      <c r="R1136" s="12"/>
      <c r="S1136" s="12"/>
      <c r="T1136" s="12"/>
      <c r="U1136" s="5"/>
      <c r="V1136" s="5"/>
      <c r="W1136" s="5"/>
      <c r="X1136" s="5"/>
      <c r="Y1136" s="5"/>
      <c r="Z1136" s="5"/>
      <c r="AA1136" s="69"/>
      <c r="AB1136" s="69"/>
      <c r="AC1136" s="5"/>
      <c r="AD1136" s="88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  <c r="GO1136" s="5"/>
      <c r="GP1136" s="5"/>
      <c r="GQ1136" s="5"/>
      <c r="GR1136" s="5"/>
      <c r="GS1136" s="5"/>
      <c r="GT1136" s="5"/>
      <c r="GU1136" s="5"/>
      <c r="GV1136" s="5"/>
      <c r="GW1136" s="5"/>
      <c r="GX1136" s="5"/>
      <c r="GY1136" s="5"/>
      <c r="GZ1136" s="5"/>
      <c r="HA1136" s="5"/>
      <c r="HB1136" s="5"/>
      <c r="HC1136" s="5"/>
      <c r="HD1136" s="5"/>
      <c r="HE1136" s="5"/>
      <c r="HF1136" s="5"/>
      <c r="HG1136" s="5"/>
      <c r="HH1136" s="5"/>
      <c r="HI1136" s="5"/>
      <c r="HJ1136" s="5"/>
      <c r="HK1136" s="5"/>
      <c r="HL1136" s="5"/>
      <c r="HM1136" s="5"/>
      <c r="HN1136" s="5"/>
      <c r="HO1136" s="5"/>
      <c r="HP1136" s="5"/>
      <c r="HQ1136" s="5"/>
      <c r="HR1136" s="5"/>
      <c r="HS1136" s="5"/>
      <c r="HT1136" s="5"/>
      <c r="HU1136" s="5"/>
      <c r="HV1136" s="5"/>
      <c r="HW1136" s="5"/>
      <c r="HX1136" s="5"/>
      <c r="HY1136" s="5"/>
      <c r="HZ1136" s="5"/>
      <c r="IA1136" s="5"/>
      <c r="IB1136" s="5"/>
      <c r="IC1136" s="5"/>
      <c r="ID1136" s="5"/>
      <c r="IE1136" s="5"/>
      <c r="IF1136" s="5"/>
      <c r="IG1136" s="5"/>
      <c r="IH1136" s="5"/>
      <c r="II1136" s="5"/>
      <c r="IJ1136" s="5"/>
      <c r="IK1136" s="5"/>
      <c r="IL1136" s="5"/>
      <c r="IM1136" s="5"/>
      <c r="IN1136" s="5"/>
      <c r="IO1136" s="5"/>
      <c r="IP1136" s="5"/>
      <c r="IQ1136" s="5"/>
      <c r="IR1136" s="5"/>
      <c r="IS1136" s="5"/>
      <c r="IT1136" s="5"/>
      <c r="IU1136" s="5"/>
      <c r="IV1136" s="5"/>
    </row>
    <row r="1137" spans="1:256" ht="23.1" customHeight="1" x14ac:dyDescent="0.25">
      <c r="A1137" s="5"/>
      <c r="B1137" s="288"/>
      <c r="C1137" s="12"/>
      <c r="D1137" s="12"/>
      <c r="E1137" s="12"/>
      <c r="F1137" s="12"/>
      <c r="G1137" s="12"/>
      <c r="H1137" s="12"/>
      <c r="I1137" s="12"/>
      <c r="J1137" s="73"/>
      <c r="K1137" s="73"/>
      <c r="L1137" s="73"/>
      <c r="M1137" s="73"/>
      <c r="N1137" s="12"/>
      <c r="O1137" s="12"/>
      <c r="P1137" s="12"/>
      <c r="Q1137" s="12"/>
      <c r="R1137" s="12"/>
      <c r="S1137" s="12"/>
      <c r="T1137" s="12"/>
      <c r="U1137" s="5"/>
      <c r="V1137" s="5"/>
      <c r="W1137" s="5"/>
      <c r="X1137" s="5"/>
      <c r="Y1137" s="5"/>
      <c r="Z1137" s="5"/>
      <c r="AA1137" s="69"/>
      <c r="AB1137" s="69"/>
      <c r="AC1137" s="5"/>
      <c r="AD1137" s="88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  <c r="GO1137" s="5"/>
      <c r="GP1137" s="5"/>
      <c r="GQ1137" s="5"/>
      <c r="GR1137" s="5"/>
      <c r="GS1137" s="5"/>
      <c r="GT1137" s="5"/>
      <c r="GU1137" s="5"/>
      <c r="GV1137" s="5"/>
      <c r="GW1137" s="5"/>
      <c r="GX1137" s="5"/>
      <c r="GY1137" s="5"/>
      <c r="GZ1137" s="5"/>
      <c r="HA1137" s="5"/>
      <c r="HB1137" s="5"/>
      <c r="HC1137" s="5"/>
      <c r="HD1137" s="5"/>
      <c r="HE1137" s="5"/>
      <c r="HF1137" s="5"/>
      <c r="HG1137" s="5"/>
      <c r="HH1137" s="5"/>
      <c r="HI1137" s="5"/>
      <c r="HJ1137" s="5"/>
      <c r="HK1137" s="5"/>
      <c r="HL1137" s="5"/>
      <c r="HM1137" s="5"/>
      <c r="HN1137" s="5"/>
      <c r="HO1137" s="5"/>
      <c r="HP1137" s="5"/>
      <c r="HQ1137" s="5"/>
      <c r="HR1137" s="5"/>
      <c r="HS1137" s="5"/>
      <c r="HT1137" s="5"/>
      <c r="HU1137" s="5"/>
      <c r="HV1137" s="5"/>
      <c r="HW1137" s="5"/>
      <c r="HX1137" s="5"/>
      <c r="HY1137" s="5"/>
      <c r="HZ1137" s="5"/>
      <c r="IA1137" s="5"/>
      <c r="IB1137" s="5"/>
      <c r="IC1137" s="5"/>
      <c r="ID1137" s="5"/>
      <c r="IE1137" s="5"/>
      <c r="IF1137" s="5"/>
      <c r="IG1137" s="5"/>
      <c r="IH1137" s="5"/>
      <c r="II1137" s="5"/>
      <c r="IJ1137" s="5"/>
      <c r="IK1137" s="5"/>
      <c r="IL1137" s="5"/>
      <c r="IM1137" s="5"/>
      <c r="IN1137" s="5"/>
      <c r="IO1137" s="5"/>
      <c r="IP1137" s="5"/>
      <c r="IQ1137" s="5"/>
      <c r="IR1137" s="5"/>
      <c r="IS1137" s="5"/>
      <c r="IT1137" s="5"/>
      <c r="IU1137" s="5"/>
      <c r="IV1137" s="5"/>
    </row>
    <row r="1138" spans="1:256" ht="23.1" customHeight="1" x14ac:dyDescent="0.25">
      <c r="A1138" s="5"/>
      <c r="B1138" s="288"/>
      <c r="C1138" s="12"/>
      <c r="D1138" s="12"/>
      <c r="E1138" s="12"/>
      <c r="F1138" s="12"/>
      <c r="G1138" s="12"/>
      <c r="H1138" s="12"/>
      <c r="I1138" s="12"/>
      <c r="J1138" s="73"/>
      <c r="K1138" s="73"/>
      <c r="L1138" s="73"/>
      <c r="M1138" s="73"/>
      <c r="N1138" s="12"/>
      <c r="O1138" s="12"/>
      <c r="P1138" s="12"/>
      <c r="Q1138" s="12"/>
      <c r="R1138" s="12"/>
      <c r="S1138" s="12"/>
      <c r="T1138" s="12"/>
      <c r="U1138" s="5"/>
      <c r="V1138" s="5"/>
      <c r="W1138" s="5"/>
      <c r="X1138" s="5"/>
      <c r="Y1138" s="5"/>
      <c r="Z1138" s="5"/>
      <c r="AA1138" s="69"/>
      <c r="AB1138" s="69"/>
      <c r="AC1138" s="5"/>
      <c r="AD1138" s="88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  <c r="GO1138" s="5"/>
      <c r="GP1138" s="5"/>
      <c r="GQ1138" s="5"/>
      <c r="GR1138" s="5"/>
      <c r="GS1138" s="5"/>
      <c r="GT1138" s="5"/>
      <c r="GU1138" s="5"/>
      <c r="GV1138" s="5"/>
      <c r="GW1138" s="5"/>
      <c r="GX1138" s="5"/>
      <c r="GY1138" s="5"/>
      <c r="GZ1138" s="5"/>
      <c r="HA1138" s="5"/>
      <c r="HB1138" s="5"/>
      <c r="HC1138" s="5"/>
      <c r="HD1138" s="5"/>
      <c r="HE1138" s="5"/>
      <c r="HF1138" s="5"/>
      <c r="HG1138" s="5"/>
      <c r="HH1138" s="5"/>
      <c r="HI1138" s="5"/>
      <c r="HJ1138" s="5"/>
      <c r="HK1138" s="5"/>
      <c r="HL1138" s="5"/>
      <c r="HM1138" s="5"/>
      <c r="HN1138" s="5"/>
      <c r="HO1138" s="5"/>
      <c r="HP1138" s="5"/>
      <c r="HQ1138" s="5"/>
      <c r="HR1138" s="5"/>
      <c r="HS1138" s="5"/>
      <c r="HT1138" s="5"/>
      <c r="HU1138" s="5"/>
      <c r="HV1138" s="5"/>
      <c r="HW1138" s="5"/>
      <c r="HX1138" s="5"/>
      <c r="HY1138" s="5"/>
      <c r="HZ1138" s="5"/>
      <c r="IA1138" s="5"/>
      <c r="IB1138" s="5"/>
      <c r="IC1138" s="5"/>
      <c r="ID1138" s="5"/>
      <c r="IE1138" s="5"/>
      <c r="IF1138" s="5"/>
      <c r="IG1138" s="5"/>
      <c r="IH1138" s="5"/>
      <c r="II1138" s="5"/>
      <c r="IJ1138" s="5"/>
      <c r="IK1138" s="5"/>
      <c r="IL1138" s="5"/>
      <c r="IM1138" s="5"/>
      <c r="IN1138" s="5"/>
      <c r="IO1138" s="5"/>
      <c r="IP1138" s="5"/>
      <c r="IQ1138" s="5"/>
      <c r="IR1138" s="5"/>
      <c r="IS1138" s="5"/>
      <c r="IT1138" s="5"/>
      <c r="IU1138" s="5"/>
      <c r="IV1138" s="5"/>
    </row>
    <row r="1139" spans="1:256" ht="23.1" customHeight="1" x14ac:dyDescent="0.25">
      <c r="A1139" s="5"/>
      <c r="B1139" s="288"/>
      <c r="C1139" s="12"/>
      <c r="D1139" s="12"/>
      <c r="E1139" s="12"/>
      <c r="F1139" s="12"/>
      <c r="G1139" s="12"/>
      <c r="H1139" s="12"/>
      <c r="I1139" s="12"/>
      <c r="J1139" s="73"/>
      <c r="K1139" s="73"/>
      <c r="L1139" s="73"/>
      <c r="M1139" s="73"/>
      <c r="N1139" s="12"/>
      <c r="O1139" s="12"/>
      <c r="P1139" s="12"/>
      <c r="Q1139" s="12"/>
      <c r="R1139" s="12"/>
      <c r="S1139" s="12"/>
      <c r="T1139" s="12"/>
      <c r="U1139" s="5"/>
      <c r="V1139" s="5"/>
      <c r="W1139" s="5"/>
      <c r="X1139" s="5"/>
      <c r="Y1139" s="5"/>
      <c r="Z1139" s="5"/>
      <c r="AA1139" s="69"/>
      <c r="AB1139" s="69"/>
      <c r="AC1139" s="5"/>
      <c r="AD1139" s="88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  <c r="GO1139" s="5"/>
      <c r="GP1139" s="5"/>
      <c r="GQ1139" s="5"/>
      <c r="GR1139" s="5"/>
      <c r="GS1139" s="5"/>
      <c r="GT1139" s="5"/>
      <c r="GU1139" s="5"/>
      <c r="GV1139" s="5"/>
      <c r="GW1139" s="5"/>
      <c r="GX1139" s="5"/>
      <c r="GY1139" s="5"/>
      <c r="GZ1139" s="5"/>
      <c r="HA1139" s="5"/>
      <c r="HB1139" s="5"/>
      <c r="HC1139" s="5"/>
      <c r="HD1139" s="5"/>
      <c r="HE1139" s="5"/>
      <c r="HF1139" s="5"/>
      <c r="HG1139" s="5"/>
      <c r="HH1139" s="5"/>
      <c r="HI1139" s="5"/>
      <c r="HJ1139" s="5"/>
      <c r="HK1139" s="5"/>
      <c r="HL1139" s="5"/>
      <c r="HM1139" s="5"/>
      <c r="HN1139" s="5"/>
      <c r="HO1139" s="5"/>
      <c r="HP1139" s="5"/>
      <c r="HQ1139" s="5"/>
      <c r="HR1139" s="5"/>
      <c r="HS1139" s="5"/>
      <c r="HT1139" s="5"/>
      <c r="HU1139" s="5"/>
      <c r="HV1139" s="5"/>
      <c r="HW1139" s="5"/>
      <c r="HX1139" s="5"/>
      <c r="HY1139" s="5"/>
      <c r="HZ1139" s="5"/>
      <c r="IA1139" s="5"/>
      <c r="IB1139" s="5"/>
      <c r="IC1139" s="5"/>
      <c r="ID1139" s="5"/>
      <c r="IE1139" s="5"/>
      <c r="IF1139" s="5"/>
      <c r="IG1139" s="5"/>
      <c r="IH1139" s="5"/>
      <c r="II1139" s="5"/>
      <c r="IJ1139" s="5"/>
      <c r="IK1139" s="5"/>
      <c r="IL1139" s="5"/>
      <c r="IM1139" s="5"/>
      <c r="IN1139" s="5"/>
      <c r="IO1139" s="5"/>
      <c r="IP1139" s="5"/>
      <c r="IQ1139" s="5"/>
      <c r="IR1139" s="5"/>
      <c r="IS1139" s="5"/>
      <c r="IT1139" s="5"/>
      <c r="IU1139" s="5"/>
      <c r="IV1139" s="5"/>
    </row>
    <row r="1140" spans="1:256" ht="23.1" customHeight="1" x14ac:dyDescent="0.25">
      <c r="A1140" s="5"/>
      <c r="B1140" s="288"/>
      <c r="C1140" s="12"/>
      <c r="D1140" s="12"/>
      <c r="E1140" s="12"/>
      <c r="F1140" s="12"/>
      <c r="G1140" s="12"/>
      <c r="H1140" s="12"/>
      <c r="I1140" s="12"/>
      <c r="J1140" s="73"/>
      <c r="K1140" s="73"/>
      <c r="L1140" s="73"/>
      <c r="M1140" s="73"/>
      <c r="N1140" s="12"/>
      <c r="O1140" s="12"/>
      <c r="P1140" s="12"/>
      <c r="Q1140" s="12"/>
      <c r="R1140" s="12"/>
      <c r="S1140" s="12"/>
      <c r="T1140" s="12"/>
      <c r="U1140" s="5"/>
      <c r="V1140" s="5"/>
      <c r="W1140" s="5"/>
      <c r="X1140" s="5"/>
      <c r="Y1140" s="5"/>
      <c r="Z1140" s="5"/>
      <c r="AA1140" s="69"/>
      <c r="AB1140" s="69"/>
      <c r="AC1140" s="5"/>
      <c r="AD1140" s="88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  <c r="GO1140" s="5"/>
      <c r="GP1140" s="5"/>
      <c r="GQ1140" s="5"/>
      <c r="GR1140" s="5"/>
      <c r="GS1140" s="5"/>
      <c r="GT1140" s="5"/>
      <c r="GU1140" s="5"/>
      <c r="GV1140" s="5"/>
      <c r="GW1140" s="5"/>
      <c r="GX1140" s="5"/>
      <c r="GY1140" s="5"/>
      <c r="GZ1140" s="5"/>
      <c r="HA1140" s="5"/>
      <c r="HB1140" s="5"/>
      <c r="HC1140" s="5"/>
      <c r="HD1140" s="5"/>
      <c r="HE1140" s="5"/>
      <c r="HF1140" s="5"/>
      <c r="HG1140" s="5"/>
      <c r="HH1140" s="5"/>
      <c r="HI1140" s="5"/>
      <c r="HJ1140" s="5"/>
      <c r="HK1140" s="5"/>
      <c r="HL1140" s="5"/>
      <c r="HM1140" s="5"/>
      <c r="HN1140" s="5"/>
      <c r="HO1140" s="5"/>
      <c r="HP1140" s="5"/>
      <c r="HQ1140" s="5"/>
      <c r="HR1140" s="5"/>
      <c r="HS1140" s="5"/>
      <c r="HT1140" s="5"/>
      <c r="HU1140" s="5"/>
      <c r="HV1140" s="5"/>
      <c r="HW1140" s="5"/>
      <c r="HX1140" s="5"/>
      <c r="HY1140" s="5"/>
      <c r="HZ1140" s="5"/>
      <c r="IA1140" s="5"/>
      <c r="IB1140" s="5"/>
      <c r="IC1140" s="5"/>
      <c r="ID1140" s="5"/>
      <c r="IE1140" s="5"/>
      <c r="IF1140" s="5"/>
      <c r="IG1140" s="5"/>
      <c r="IH1140" s="5"/>
      <c r="II1140" s="5"/>
      <c r="IJ1140" s="5"/>
      <c r="IK1140" s="5"/>
      <c r="IL1140" s="5"/>
      <c r="IM1140" s="5"/>
      <c r="IN1140" s="5"/>
      <c r="IO1140" s="5"/>
      <c r="IP1140" s="5"/>
      <c r="IQ1140" s="5"/>
      <c r="IR1140" s="5"/>
      <c r="IS1140" s="5"/>
      <c r="IT1140" s="5"/>
      <c r="IU1140" s="5"/>
      <c r="IV1140" s="5"/>
    </row>
    <row r="1141" spans="1:256" ht="23.1" customHeight="1" x14ac:dyDescent="0.25">
      <c r="A1141" s="5"/>
      <c r="B1141" s="288"/>
      <c r="C1141" s="12"/>
      <c r="D1141" s="12"/>
      <c r="E1141" s="12"/>
      <c r="F1141" s="12"/>
      <c r="G1141" s="12"/>
      <c r="H1141" s="12"/>
      <c r="I1141" s="12"/>
      <c r="J1141" s="73"/>
      <c r="K1141" s="73"/>
      <c r="L1141" s="73"/>
      <c r="M1141" s="73"/>
      <c r="N1141" s="12"/>
      <c r="O1141" s="12"/>
      <c r="P1141" s="12"/>
      <c r="Q1141" s="12"/>
      <c r="R1141" s="12"/>
      <c r="S1141" s="12"/>
      <c r="T1141" s="12"/>
      <c r="U1141" s="5"/>
      <c r="V1141" s="5"/>
      <c r="W1141" s="5"/>
      <c r="X1141" s="5"/>
      <c r="Y1141" s="5"/>
      <c r="Z1141" s="5"/>
      <c r="AA1141" s="69"/>
      <c r="AB1141" s="69"/>
      <c r="AC1141" s="5"/>
      <c r="AD1141" s="88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  <c r="GO1141" s="5"/>
      <c r="GP1141" s="5"/>
      <c r="GQ1141" s="5"/>
      <c r="GR1141" s="5"/>
      <c r="GS1141" s="5"/>
      <c r="GT1141" s="5"/>
      <c r="GU1141" s="5"/>
      <c r="GV1141" s="5"/>
      <c r="GW1141" s="5"/>
      <c r="GX1141" s="5"/>
      <c r="GY1141" s="5"/>
      <c r="GZ1141" s="5"/>
      <c r="HA1141" s="5"/>
      <c r="HB1141" s="5"/>
      <c r="HC1141" s="5"/>
      <c r="HD1141" s="5"/>
      <c r="HE1141" s="5"/>
      <c r="HF1141" s="5"/>
      <c r="HG1141" s="5"/>
      <c r="HH1141" s="5"/>
      <c r="HI1141" s="5"/>
      <c r="HJ1141" s="5"/>
      <c r="HK1141" s="5"/>
      <c r="HL1141" s="5"/>
      <c r="HM1141" s="5"/>
      <c r="HN1141" s="5"/>
      <c r="HO1141" s="5"/>
      <c r="HP1141" s="5"/>
      <c r="HQ1141" s="5"/>
      <c r="HR1141" s="5"/>
      <c r="HS1141" s="5"/>
      <c r="HT1141" s="5"/>
      <c r="HU1141" s="5"/>
      <c r="HV1141" s="5"/>
      <c r="HW1141" s="5"/>
      <c r="HX1141" s="5"/>
      <c r="HY1141" s="5"/>
      <c r="HZ1141" s="5"/>
      <c r="IA1141" s="5"/>
      <c r="IB1141" s="5"/>
      <c r="IC1141" s="5"/>
      <c r="ID1141" s="5"/>
      <c r="IE1141" s="5"/>
      <c r="IF1141" s="5"/>
      <c r="IG1141" s="5"/>
      <c r="IH1141" s="5"/>
      <c r="II1141" s="5"/>
      <c r="IJ1141" s="5"/>
      <c r="IK1141" s="5"/>
      <c r="IL1141" s="5"/>
      <c r="IM1141" s="5"/>
      <c r="IN1141" s="5"/>
      <c r="IO1141" s="5"/>
      <c r="IP1141" s="5"/>
      <c r="IQ1141" s="5"/>
      <c r="IR1141" s="5"/>
      <c r="IS1141" s="5"/>
      <c r="IT1141" s="5"/>
      <c r="IU1141" s="5"/>
      <c r="IV1141" s="5"/>
    </row>
    <row r="1142" spans="1:256" ht="23.1" customHeight="1" x14ac:dyDescent="0.25">
      <c r="A1142" s="5"/>
      <c r="B1142" s="288"/>
      <c r="C1142" s="12"/>
      <c r="D1142" s="12"/>
      <c r="E1142" s="12"/>
      <c r="F1142" s="12"/>
      <c r="G1142" s="12"/>
      <c r="H1142" s="12"/>
      <c r="I1142" s="12"/>
      <c r="J1142" s="73"/>
      <c r="K1142" s="73"/>
      <c r="L1142" s="73"/>
      <c r="M1142" s="73"/>
      <c r="N1142" s="12"/>
      <c r="O1142" s="12"/>
      <c r="P1142" s="12"/>
      <c r="Q1142" s="12"/>
      <c r="R1142" s="12"/>
      <c r="S1142" s="12"/>
      <c r="T1142" s="12"/>
      <c r="U1142" s="5"/>
      <c r="V1142" s="5"/>
      <c r="W1142" s="5"/>
      <c r="X1142" s="5"/>
      <c r="Y1142" s="5"/>
      <c r="Z1142" s="5"/>
      <c r="AA1142" s="69"/>
      <c r="AB1142" s="69"/>
      <c r="AC1142" s="5"/>
      <c r="AD1142" s="88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  <c r="GO1142" s="5"/>
      <c r="GP1142" s="5"/>
      <c r="GQ1142" s="5"/>
      <c r="GR1142" s="5"/>
      <c r="GS1142" s="5"/>
      <c r="GT1142" s="5"/>
      <c r="GU1142" s="5"/>
      <c r="GV1142" s="5"/>
      <c r="GW1142" s="5"/>
      <c r="GX1142" s="5"/>
      <c r="GY1142" s="5"/>
      <c r="GZ1142" s="5"/>
      <c r="HA1142" s="5"/>
      <c r="HB1142" s="5"/>
      <c r="HC1142" s="5"/>
      <c r="HD1142" s="5"/>
      <c r="HE1142" s="5"/>
      <c r="HF1142" s="5"/>
      <c r="HG1142" s="5"/>
      <c r="HH1142" s="5"/>
      <c r="HI1142" s="5"/>
      <c r="HJ1142" s="5"/>
      <c r="HK1142" s="5"/>
      <c r="HL1142" s="5"/>
      <c r="HM1142" s="5"/>
      <c r="HN1142" s="5"/>
      <c r="HO1142" s="5"/>
      <c r="HP1142" s="5"/>
      <c r="HQ1142" s="5"/>
      <c r="HR1142" s="5"/>
      <c r="HS1142" s="5"/>
      <c r="HT1142" s="5"/>
      <c r="HU1142" s="5"/>
      <c r="HV1142" s="5"/>
      <c r="HW1142" s="5"/>
      <c r="HX1142" s="5"/>
      <c r="HY1142" s="5"/>
      <c r="HZ1142" s="5"/>
      <c r="IA1142" s="5"/>
      <c r="IB1142" s="5"/>
      <c r="IC1142" s="5"/>
      <c r="ID1142" s="5"/>
      <c r="IE1142" s="5"/>
      <c r="IF1142" s="5"/>
      <c r="IG1142" s="5"/>
      <c r="IH1142" s="5"/>
      <c r="II1142" s="5"/>
      <c r="IJ1142" s="5"/>
      <c r="IK1142" s="5"/>
      <c r="IL1142" s="5"/>
      <c r="IM1142" s="5"/>
      <c r="IN1142" s="5"/>
      <c r="IO1142" s="5"/>
      <c r="IP1142" s="5"/>
      <c r="IQ1142" s="5"/>
      <c r="IR1142" s="5"/>
      <c r="IS1142" s="5"/>
      <c r="IT1142" s="5"/>
      <c r="IU1142" s="5"/>
      <c r="IV1142" s="5"/>
    </row>
    <row r="1143" spans="1:256" ht="23.1" customHeight="1" x14ac:dyDescent="0.25">
      <c r="A1143" s="5"/>
      <c r="B1143" s="288"/>
      <c r="C1143" s="12"/>
      <c r="D1143" s="12"/>
      <c r="E1143" s="12"/>
      <c r="F1143" s="12"/>
      <c r="G1143" s="12"/>
      <c r="H1143" s="12"/>
      <c r="I1143" s="12"/>
      <c r="J1143" s="73"/>
      <c r="K1143" s="73"/>
      <c r="L1143" s="73"/>
      <c r="M1143" s="73"/>
      <c r="N1143" s="12"/>
      <c r="O1143" s="12"/>
      <c r="P1143" s="12"/>
      <c r="Q1143" s="12"/>
      <c r="R1143" s="12"/>
      <c r="S1143" s="12"/>
      <c r="T1143" s="12"/>
      <c r="U1143" s="5"/>
      <c r="V1143" s="5"/>
      <c r="W1143" s="5"/>
      <c r="X1143" s="5"/>
      <c r="Y1143" s="5"/>
      <c r="Z1143" s="5"/>
      <c r="AA1143" s="69"/>
      <c r="AB1143" s="69"/>
      <c r="AC1143" s="5"/>
      <c r="AD1143" s="88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  <c r="GO1143" s="5"/>
      <c r="GP1143" s="5"/>
      <c r="GQ1143" s="5"/>
      <c r="GR1143" s="5"/>
      <c r="GS1143" s="5"/>
      <c r="GT1143" s="5"/>
      <c r="GU1143" s="5"/>
      <c r="GV1143" s="5"/>
      <c r="GW1143" s="5"/>
      <c r="GX1143" s="5"/>
      <c r="GY1143" s="5"/>
      <c r="GZ1143" s="5"/>
      <c r="HA1143" s="5"/>
      <c r="HB1143" s="5"/>
      <c r="HC1143" s="5"/>
      <c r="HD1143" s="5"/>
      <c r="HE1143" s="5"/>
      <c r="HF1143" s="5"/>
      <c r="HG1143" s="5"/>
      <c r="HH1143" s="5"/>
      <c r="HI1143" s="5"/>
      <c r="HJ1143" s="5"/>
      <c r="HK1143" s="5"/>
      <c r="HL1143" s="5"/>
      <c r="HM1143" s="5"/>
      <c r="HN1143" s="5"/>
      <c r="HO1143" s="5"/>
      <c r="HP1143" s="5"/>
      <c r="HQ1143" s="5"/>
      <c r="HR1143" s="5"/>
      <c r="HS1143" s="5"/>
      <c r="HT1143" s="5"/>
      <c r="HU1143" s="5"/>
      <c r="HV1143" s="5"/>
      <c r="HW1143" s="5"/>
      <c r="HX1143" s="5"/>
      <c r="HY1143" s="5"/>
      <c r="HZ1143" s="5"/>
      <c r="IA1143" s="5"/>
      <c r="IB1143" s="5"/>
      <c r="IC1143" s="5"/>
      <c r="ID1143" s="5"/>
      <c r="IE1143" s="5"/>
      <c r="IF1143" s="5"/>
      <c r="IG1143" s="5"/>
      <c r="IH1143" s="5"/>
      <c r="II1143" s="5"/>
      <c r="IJ1143" s="5"/>
      <c r="IK1143" s="5"/>
      <c r="IL1143" s="5"/>
      <c r="IM1143" s="5"/>
      <c r="IN1143" s="5"/>
      <c r="IO1143" s="5"/>
      <c r="IP1143" s="5"/>
      <c r="IQ1143" s="5"/>
      <c r="IR1143" s="5"/>
      <c r="IS1143" s="5"/>
      <c r="IT1143" s="5"/>
      <c r="IU1143" s="5"/>
      <c r="IV1143" s="5"/>
    </row>
  </sheetData>
  <mergeCells count="2">
    <mergeCell ref="A1:AC1"/>
    <mergeCell ref="A2:AC2"/>
  </mergeCells>
  <phoneticPr fontId="3" type="noConversion"/>
  <pageMargins left="0.74803149606299213" right="0.74803149606299213" top="0.98425196850393704" bottom="0.98425196850393704" header="0.51181102362204722" footer="0.51181102362204722"/>
  <pageSetup paperSize="9" scale="91" fitToHeight="0" orientation="portrait" r:id="rId1"/>
  <headerFooter alignWithMargins="0">
    <oddFooter>&amp;A&amp;Rעמוד &amp;P</oddFooter>
  </headerFooter>
  <rowBreaks count="7" manualBreakCount="7">
    <brk id="30" max="28" man="1"/>
    <brk id="57" max="28" man="1"/>
    <brk id="84" max="28" man="1"/>
    <brk id="111" max="28" man="1"/>
    <brk id="138" max="28" man="1"/>
    <brk id="165" max="28" man="1"/>
    <brk id="354" max="2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6</vt:i4>
      </vt:variant>
      <vt:variant>
        <vt:lpstr>טווחים בעלי שם</vt:lpstr>
      </vt:variant>
      <vt:variant>
        <vt:i4>6</vt:i4>
      </vt:variant>
    </vt:vector>
  </HeadingPairs>
  <TitlesOfParts>
    <vt:vector size="12" baseType="lpstr">
      <vt:lpstr>דף פתיחה</vt:lpstr>
      <vt:lpstr>ריכוז תקציב</vt:lpstr>
      <vt:lpstr>ריכוז הכנסות</vt:lpstr>
      <vt:lpstr>הכנסות</vt:lpstr>
      <vt:lpstr>ריכוז הוצאות</vt:lpstr>
      <vt:lpstr>הוצאות</vt:lpstr>
      <vt:lpstr>'דף פתיחה'!WPrint_Area_W</vt:lpstr>
      <vt:lpstr>הוצאות!WPrint_Area_W</vt:lpstr>
      <vt:lpstr>'ריכוז הוצאות'!WPrint_Area_W</vt:lpstr>
      <vt:lpstr>'ריכוז הכנסות'!WPrint_Area_W</vt:lpstr>
      <vt:lpstr>הוצאות!WPrint_TitlesW</vt:lpstr>
      <vt:lpstr>הכנסות!WPrint_TitlesW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Admin</cp:lastModifiedBy>
  <cp:lastPrinted>2015-12-24T16:10:23Z</cp:lastPrinted>
  <dcterms:created xsi:type="dcterms:W3CDTF">2005-12-30T11:26:45Z</dcterms:created>
  <dcterms:modified xsi:type="dcterms:W3CDTF">2018-04-29T06:01:19Z</dcterms:modified>
</cp:coreProperties>
</file>