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730" activeTab="1"/>
  </bookViews>
  <sheets>
    <sheet name="הכנסות" sheetId="2" r:id="rId1"/>
    <sheet name="הוצאות" sheetId="3" r:id="rId2"/>
    <sheet name="טופס 4 תקן ומשרות" sheetId="4" r:id="rId3"/>
  </sheets>
  <externalReferences>
    <externalReference r:id="rId4"/>
  </externalReferences>
  <definedNames>
    <definedName name="_xlnm._FilterDatabase" localSheetId="1" hidden="1">הוצאות!$A$1:$H$230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" i="3"/>
  <c r="G148" i="2" l="1"/>
  <c r="G164" i="2"/>
  <c r="G165" i="2"/>
  <c r="G169" i="2"/>
  <c r="G161" i="2"/>
  <c r="G162" i="2" s="1"/>
  <c r="G156" i="2"/>
  <c r="G153" i="2"/>
  <c r="E264" i="3"/>
  <c r="E269" i="3" s="1"/>
  <c r="E278" i="3" s="1"/>
  <c r="E285" i="3" s="1"/>
  <c r="F264" i="3"/>
  <c r="G264" i="3"/>
  <c r="E265" i="3"/>
  <c r="F265" i="3"/>
  <c r="G265" i="3"/>
  <c r="E266" i="3"/>
  <c r="F266" i="3"/>
  <c r="G266" i="3"/>
  <c r="G269" i="3" s="1"/>
  <c r="G278" i="3" s="1"/>
  <c r="G285" i="3" s="1"/>
  <c r="E267" i="3"/>
  <c r="F267" i="3"/>
  <c r="G267" i="3"/>
  <c r="E268" i="3"/>
  <c r="F268" i="3"/>
  <c r="G268" i="3"/>
  <c r="E271" i="3"/>
  <c r="F271" i="3"/>
  <c r="G271" i="3"/>
  <c r="E272" i="3"/>
  <c r="F272" i="3"/>
  <c r="G272" i="3"/>
  <c r="E273" i="3"/>
  <c r="F273" i="3"/>
  <c r="G273" i="3"/>
  <c r="E274" i="3"/>
  <c r="F274" i="3"/>
  <c r="G274" i="3"/>
  <c r="E275" i="3"/>
  <c r="F275" i="3"/>
  <c r="G275" i="3"/>
  <c r="E276" i="3"/>
  <c r="F276" i="3"/>
  <c r="G276" i="3"/>
  <c r="E282" i="3"/>
  <c r="F282" i="3"/>
  <c r="G282" i="3"/>
  <c r="D282" i="3"/>
  <c r="D276" i="3"/>
  <c r="D275" i="3"/>
  <c r="D274" i="3"/>
  <c r="D273" i="3"/>
  <c r="D272" i="3"/>
  <c r="D271" i="3"/>
  <c r="D268" i="3"/>
  <c r="D267" i="3"/>
  <c r="D266" i="3"/>
  <c r="D265" i="3"/>
  <c r="D264" i="3"/>
  <c r="D269" i="3" s="1"/>
  <c r="D278" i="3" s="1"/>
  <c r="D285" i="3" s="1"/>
  <c r="G34" i="3"/>
  <c r="G27" i="3"/>
  <c r="F113" i="2"/>
  <c r="F269" i="3" l="1"/>
  <c r="F278" i="3" s="1"/>
  <c r="F285" i="3" s="1"/>
  <c r="F165" i="3"/>
  <c r="H229" i="3" l="1"/>
  <c r="H221" i="3"/>
  <c r="H200" i="3"/>
  <c r="H192" i="3"/>
  <c r="H187" i="3"/>
  <c r="H181" i="3"/>
  <c r="H177" i="3"/>
  <c r="H172" i="3"/>
  <c r="H166" i="3"/>
  <c r="H160" i="3"/>
  <c r="H157" i="3"/>
  <c r="H151" i="3"/>
  <c r="H149" i="3"/>
  <c r="H146" i="3"/>
  <c r="H143" i="3"/>
  <c r="H136" i="3"/>
  <c r="H130" i="3"/>
  <c r="H120" i="3"/>
  <c r="H117" i="3"/>
  <c r="H113" i="3"/>
  <c r="H108" i="3"/>
  <c r="H103" i="3"/>
  <c r="H99" i="3"/>
  <c r="H72" i="3"/>
  <c r="H62" i="3"/>
  <c r="H57" i="3"/>
  <c r="H56" i="3"/>
  <c r="H47" i="3"/>
  <c r="H38" i="3"/>
  <c r="H37" i="3"/>
  <c r="H34" i="3"/>
  <c r="H33" i="3"/>
  <c r="H30" i="3"/>
  <c r="H20" i="3"/>
  <c r="H18" i="3"/>
  <c r="H15" i="3"/>
  <c r="H2" i="3"/>
  <c r="E79" i="2"/>
  <c r="E75" i="2"/>
  <c r="D123" i="2"/>
  <c r="E123" i="2"/>
  <c r="F123" i="2"/>
  <c r="C123" i="2"/>
  <c r="E61" i="2"/>
  <c r="E50" i="2"/>
  <c r="E92" i="2"/>
  <c r="E71" i="2"/>
  <c r="H244" i="3" l="1"/>
  <c r="G91" i="4"/>
  <c r="J90" i="4"/>
  <c r="J86" i="4"/>
  <c r="I86" i="4"/>
  <c r="H86" i="4"/>
  <c r="H90" i="4" s="1"/>
  <c r="G86" i="4"/>
  <c r="F86" i="4"/>
  <c r="F90" i="4" s="1"/>
  <c r="E86" i="4"/>
  <c r="J79" i="4"/>
  <c r="I79" i="4"/>
  <c r="H79" i="4"/>
  <c r="G79" i="4"/>
  <c r="F79" i="4"/>
  <c r="E79" i="4"/>
  <c r="J76" i="4"/>
  <c r="H76" i="4"/>
  <c r="F76" i="4"/>
  <c r="E76" i="4"/>
  <c r="I73" i="4"/>
  <c r="I76" i="4" s="1"/>
  <c r="J71" i="4"/>
  <c r="I71" i="4"/>
  <c r="H71" i="4"/>
  <c r="G71" i="4"/>
  <c r="F71" i="4"/>
  <c r="E71" i="4"/>
  <c r="I68" i="4"/>
  <c r="H68" i="4"/>
  <c r="G68" i="4"/>
  <c r="G82" i="4" s="1"/>
  <c r="F68" i="4"/>
  <c r="E68" i="4"/>
  <c r="J67" i="4"/>
  <c r="J68" i="4" s="1"/>
  <c r="J61" i="4"/>
  <c r="I61" i="4"/>
  <c r="H61" i="4"/>
  <c r="F61" i="4"/>
  <c r="E61" i="4"/>
  <c r="J52" i="4"/>
  <c r="J42" i="4"/>
  <c r="I42" i="4"/>
  <c r="I43" i="4" s="1"/>
  <c r="H42" i="4"/>
  <c r="G42" i="4"/>
  <c r="F42" i="4"/>
  <c r="E42" i="4"/>
  <c r="E43" i="4" s="1"/>
  <c r="J39" i="4"/>
  <c r="I39" i="4"/>
  <c r="H39" i="4"/>
  <c r="G39" i="4"/>
  <c r="F39" i="4"/>
  <c r="E39" i="4"/>
  <c r="J37" i="4"/>
  <c r="I37" i="4"/>
  <c r="H37" i="4"/>
  <c r="G37" i="4"/>
  <c r="F37" i="4"/>
  <c r="E37" i="4"/>
  <c r="J34" i="4"/>
  <c r="I34" i="4"/>
  <c r="H34" i="4"/>
  <c r="G34" i="4"/>
  <c r="F34" i="4"/>
  <c r="E34" i="4"/>
  <c r="J31" i="4"/>
  <c r="I31" i="4"/>
  <c r="H31" i="4"/>
  <c r="G31" i="4"/>
  <c r="F31" i="4"/>
  <c r="E31" i="4"/>
  <c r="J28" i="4"/>
  <c r="I28" i="4"/>
  <c r="H28" i="4"/>
  <c r="G28" i="4"/>
  <c r="F28" i="4"/>
  <c r="E28" i="4"/>
  <c r="J21" i="4"/>
  <c r="I21" i="4"/>
  <c r="H21" i="4"/>
  <c r="G21" i="4"/>
  <c r="G22" i="4" s="1"/>
  <c r="F21" i="4"/>
  <c r="E21" i="4"/>
  <c r="J17" i="4"/>
  <c r="J14" i="4"/>
  <c r="I14" i="4"/>
  <c r="H14" i="4"/>
  <c r="G14" i="4"/>
  <c r="F14" i="4"/>
  <c r="E14" i="4"/>
  <c r="J8" i="4"/>
  <c r="I8" i="4"/>
  <c r="H8" i="4"/>
  <c r="H22" i="4" s="1"/>
  <c r="G8" i="4"/>
  <c r="F8" i="4"/>
  <c r="E8" i="4"/>
  <c r="H246" i="3" l="1"/>
  <c r="G155" i="2"/>
  <c r="G157" i="2" s="1"/>
  <c r="H43" i="4"/>
  <c r="H82" i="4"/>
  <c r="E22" i="4"/>
  <c r="E92" i="4" s="1"/>
  <c r="I22" i="4"/>
  <c r="E82" i="4"/>
  <c r="G43" i="4"/>
  <c r="G92" i="4" s="1"/>
  <c r="H92" i="4"/>
  <c r="F22" i="4"/>
  <c r="J22" i="4"/>
  <c r="F43" i="4"/>
  <c r="J43" i="4"/>
  <c r="F82" i="4"/>
  <c r="I82" i="4"/>
  <c r="I92" i="4" s="1"/>
  <c r="J82" i="4"/>
  <c r="D95" i="2"/>
  <c r="D96" i="2"/>
  <c r="D99" i="2"/>
  <c r="D122" i="2"/>
  <c r="D124" i="2"/>
  <c r="D125" i="2"/>
  <c r="D126" i="2"/>
  <c r="D129" i="2"/>
  <c r="D131" i="2"/>
  <c r="D132" i="2"/>
  <c r="D133" i="2"/>
  <c r="D134" i="2"/>
  <c r="D140" i="2"/>
  <c r="F140" i="2"/>
  <c r="E140" i="2"/>
  <c r="C140" i="2"/>
  <c r="C134" i="2"/>
  <c r="E133" i="2"/>
  <c r="C133" i="2"/>
  <c r="E132" i="2"/>
  <c r="C132" i="2"/>
  <c r="F131" i="2"/>
  <c r="C131" i="2"/>
  <c r="E130" i="2"/>
  <c r="C130" i="2"/>
  <c r="F129" i="2"/>
  <c r="C129" i="2"/>
  <c r="C126" i="2"/>
  <c r="F125" i="2"/>
  <c r="E125" i="2"/>
  <c r="C125" i="2"/>
  <c r="C124" i="2"/>
  <c r="F122" i="2"/>
  <c r="C122" i="2"/>
  <c r="C117" i="2"/>
  <c r="E115" i="2"/>
  <c r="E114" i="2"/>
  <c r="F114" i="2" s="1"/>
  <c r="E113" i="2"/>
  <c r="E131" i="2" s="1"/>
  <c r="E112" i="2"/>
  <c r="E111" i="2"/>
  <c r="E110" i="2"/>
  <c r="E108" i="2"/>
  <c r="E107" i="2"/>
  <c r="F107" i="2" s="1"/>
  <c r="E106" i="2"/>
  <c r="E105" i="2"/>
  <c r="E104" i="2"/>
  <c r="F104" i="2" s="1"/>
  <c r="E103" i="2"/>
  <c r="F103" i="2" s="1"/>
  <c r="E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E70" i="2"/>
  <c r="E69" i="2"/>
  <c r="F69" i="2" s="1"/>
  <c r="E68" i="2"/>
  <c r="E67" i="2"/>
  <c r="E66" i="2"/>
  <c r="E65" i="2"/>
  <c r="E64" i="2"/>
  <c r="E63" i="2"/>
  <c r="F63" i="2" s="1"/>
  <c r="E60" i="2"/>
  <c r="E59" i="2"/>
  <c r="E58" i="2"/>
  <c r="E57" i="2"/>
  <c r="E56" i="2"/>
  <c r="E55" i="2"/>
  <c r="E54" i="2"/>
  <c r="E53" i="2"/>
  <c r="E52" i="2"/>
  <c r="E51" i="2"/>
  <c r="E49" i="2"/>
  <c r="E48" i="2"/>
  <c r="E47" i="2"/>
  <c r="E46" i="2"/>
  <c r="E45" i="2"/>
  <c r="E43" i="2"/>
  <c r="E42" i="2"/>
  <c r="E41" i="2"/>
  <c r="E40" i="2"/>
  <c r="E39" i="2"/>
  <c r="E38" i="2"/>
  <c r="E37" i="2"/>
  <c r="E36" i="2"/>
  <c r="E35" i="2"/>
  <c r="E34" i="2"/>
  <c r="E33" i="2"/>
  <c r="F30" i="2"/>
  <c r="F27" i="2"/>
  <c r="F25" i="2"/>
  <c r="F24" i="2"/>
  <c r="F23" i="2"/>
  <c r="F22" i="2"/>
  <c r="F21" i="2"/>
  <c r="F19" i="2"/>
  <c r="F18" i="2"/>
  <c r="F17" i="2"/>
  <c r="F14" i="2"/>
  <c r="E9" i="2"/>
  <c r="E2" i="2"/>
  <c r="G258" i="3"/>
  <c r="F169" i="2" s="1"/>
  <c r="F258" i="3"/>
  <c r="E169" i="2" s="1"/>
  <c r="E258" i="3"/>
  <c r="D169" i="2" s="1"/>
  <c r="D258" i="3"/>
  <c r="C169" i="2" s="1"/>
  <c r="F254" i="3"/>
  <c r="E165" i="2" s="1"/>
  <c r="E254" i="3"/>
  <c r="D165" i="2" s="1"/>
  <c r="D254" i="3"/>
  <c r="C165" i="2" s="1"/>
  <c r="G253" i="3"/>
  <c r="F164" i="2" s="1"/>
  <c r="F253" i="3"/>
  <c r="E164" i="2" s="1"/>
  <c r="E253" i="3"/>
  <c r="D164" i="2" s="1"/>
  <c r="D253" i="3"/>
  <c r="C164" i="2" s="1"/>
  <c r="G250" i="3"/>
  <c r="E250" i="3"/>
  <c r="D250" i="3"/>
  <c r="D245" i="3"/>
  <c r="C156" i="2" s="1"/>
  <c r="E244" i="3"/>
  <c r="D155" i="2" s="1"/>
  <c r="D244" i="3"/>
  <c r="E242" i="3"/>
  <c r="D153" i="2" s="1"/>
  <c r="D242" i="3"/>
  <c r="C153" i="2" s="1"/>
  <c r="E241" i="3"/>
  <c r="D152" i="2" s="1"/>
  <c r="D154" i="2" s="1"/>
  <c r="D241" i="3"/>
  <c r="C152" i="2" s="1"/>
  <c r="D237" i="3"/>
  <c r="C148" i="2" s="1"/>
  <c r="E236" i="3"/>
  <c r="D147" i="2" s="1"/>
  <c r="D150" i="2" s="1"/>
  <c r="D236" i="3"/>
  <c r="C147" i="2" s="1"/>
  <c r="D232" i="3"/>
  <c r="G230" i="3"/>
  <c r="G254" i="3" s="1"/>
  <c r="F165" i="2" s="1"/>
  <c r="G229" i="3"/>
  <c r="F229" i="3"/>
  <c r="G221" i="3"/>
  <c r="F221" i="3"/>
  <c r="G220" i="3"/>
  <c r="G219" i="3"/>
  <c r="G218" i="3"/>
  <c r="G217" i="3"/>
  <c r="E217" i="3"/>
  <c r="G216" i="3"/>
  <c r="G215" i="3"/>
  <c r="G214" i="3"/>
  <c r="E214" i="3"/>
  <c r="G213" i="3"/>
  <c r="G212" i="3"/>
  <c r="G211" i="3"/>
  <c r="G210" i="3"/>
  <c r="G209" i="3"/>
  <c r="G208" i="3"/>
  <c r="E208" i="3"/>
  <c r="G207" i="3"/>
  <c r="E207" i="3"/>
  <c r="G206" i="3"/>
  <c r="G205" i="3"/>
  <c r="E205" i="3"/>
  <c r="G204" i="3"/>
  <c r="G203" i="3"/>
  <c r="G202" i="3"/>
  <c r="G201" i="3"/>
  <c r="E201" i="3"/>
  <c r="G200" i="3"/>
  <c r="F200" i="3"/>
  <c r="G199" i="3"/>
  <c r="G198" i="3"/>
  <c r="G197" i="3"/>
  <c r="G196" i="3"/>
  <c r="G195" i="3"/>
  <c r="G194" i="3"/>
  <c r="G193" i="3"/>
  <c r="G192" i="3"/>
  <c r="F192" i="3"/>
  <c r="G191" i="3"/>
  <c r="G190" i="3"/>
  <c r="G189" i="3"/>
  <c r="G188" i="3"/>
  <c r="G187" i="3"/>
  <c r="F187" i="3"/>
  <c r="F183" i="3"/>
  <c r="F245" i="3" s="1"/>
  <c r="E156" i="2" s="1"/>
  <c r="G181" i="3"/>
  <c r="F181" i="3"/>
  <c r="G179" i="3"/>
  <c r="H178" i="3"/>
  <c r="G178" i="3"/>
  <c r="F178" i="3"/>
  <c r="G177" i="3"/>
  <c r="F177" i="3"/>
  <c r="G172" i="3"/>
  <c r="F172" i="3"/>
  <c r="F169" i="3"/>
  <c r="G166" i="3"/>
  <c r="F166" i="3"/>
  <c r="F162" i="3"/>
  <c r="G161" i="3"/>
  <c r="F161" i="3"/>
  <c r="G160" i="3"/>
  <c r="F160" i="3"/>
  <c r="G157" i="3"/>
  <c r="F157" i="3"/>
  <c r="G156" i="3"/>
  <c r="F156" i="3"/>
  <c r="F155" i="3"/>
  <c r="F154" i="3"/>
  <c r="G152" i="3"/>
  <c r="F152" i="3"/>
  <c r="G151" i="3"/>
  <c r="F151" i="3"/>
  <c r="G149" i="3"/>
  <c r="F149" i="3"/>
  <c r="G148" i="3"/>
  <c r="G146" i="3"/>
  <c r="F146" i="3"/>
  <c r="F145" i="3"/>
  <c r="G143" i="3"/>
  <c r="F143" i="3"/>
  <c r="F142" i="3"/>
  <c r="F138" i="3"/>
  <c r="F137" i="3"/>
  <c r="G136" i="3"/>
  <c r="F136" i="3"/>
  <c r="F135" i="3"/>
  <c r="F134" i="3"/>
  <c r="H131" i="3"/>
  <c r="G131" i="3"/>
  <c r="F131" i="3"/>
  <c r="G130" i="3"/>
  <c r="F130" i="3"/>
  <c r="F129" i="3"/>
  <c r="H126" i="3"/>
  <c r="H241" i="3" s="1"/>
  <c r="G126" i="3"/>
  <c r="F126" i="3"/>
  <c r="G124" i="3"/>
  <c r="G123" i="3"/>
  <c r="G122" i="3"/>
  <c r="G120" i="3"/>
  <c r="F120" i="3"/>
  <c r="F119" i="3"/>
  <c r="F118" i="3"/>
  <c r="G117" i="3"/>
  <c r="F117" i="3"/>
  <c r="G116" i="3"/>
  <c r="F116" i="3"/>
  <c r="F115" i="3"/>
  <c r="G114" i="3"/>
  <c r="G113" i="3"/>
  <c r="F113" i="3"/>
  <c r="F112" i="3"/>
  <c r="F111" i="3"/>
  <c r="F110" i="3"/>
  <c r="G108" i="3"/>
  <c r="F108" i="3"/>
  <c r="F107" i="3"/>
  <c r="F106" i="3"/>
  <c r="F104" i="3"/>
  <c r="G103" i="3"/>
  <c r="F103" i="3"/>
  <c r="F102" i="3"/>
  <c r="H101" i="3"/>
  <c r="G101" i="3"/>
  <c r="F101" i="3"/>
  <c r="G99" i="3"/>
  <c r="F98" i="3"/>
  <c r="F97" i="3"/>
  <c r="F96" i="3"/>
  <c r="F94" i="3"/>
  <c r="G91" i="3"/>
  <c r="F90" i="3"/>
  <c r="F88" i="3"/>
  <c r="F86" i="3"/>
  <c r="F85" i="3"/>
  <c r="G84" i="3"/>
  <c r="F83" i="3"/>
  <c r="F82" i="3"/>
  <c r="E81" i="3"/>
  <c r="E237" i="3" s="1"/>
  <c r="D148" i="2" s="1"/>
  <c r="F80" i="3"/>
  <c r="F78" i="3"/>
  <c r="G77" i="3"/>
  <c r="F77" i="3"/>
  <c r="F76" i="3"/>
  <c r="F75" i="3"/>
  <c r="F74" i="3"/>
  <c r="F73" i="3"/>
  <c r="G72" i="3"/>
  <c r="F72" i="3"/>
  <c r="G71" i="3"/>
  <c r="F71" i="3"/>
  <c r="F69" i="3"/>
  <c r="F67" i="3"/>
  <c r="F66" i="3"/>
  <c r="F65" i="3"/>
  <c r="F64" i="3"/>
  <c r="F63" i="3"/>
  <c r="G62" i="3"/>
  <c r="F62" i="3"/>
  <c r="G61" i="3"/>
  <c r="G60" i="3"/>
  <c r="F60" i="3"/>
  <c r="F58" i="3"/>
  <c r="G57" i="3"/>
  <c r="F57" i="3"/>
  <c r="G56" i="3"/>
  <c r="F56" i="3"/>
  <c r="F55" i="3"/>
  <c r="F54" i="3"/>
  <c r="G53" i="3"/>
  <c r="F52" i="3"/>
  <c r="F51" i="3"/>
  <c r="F50" i="3"/>
  <c r="F49" i="3"/>
  <c r="F48" i="3"/>
  <c r="G47" i="3"/>
  <c r="F47" i="3"/>
  <c r="F46" i="3"/>
  <c r="F45" i="3"/>
  <c r="F44" i="3"/>
  <c r="F40" i="3"/>
  <c r="F39" i="3"/>
  <c r="G38" i="3"/>
  <c r="F38" i="3"/>
  <c r="G37" i="3"/>
  <c r="F37" i="3"/>
  <c r="G36" i="3"/>
  <c r="F36" i="3"/>
  <c r="F35" i="3"/>
  <c r="F34" i="3"/>
  <c r="G33" i="3"/>
  <c r="F33" i="3"/>
  <c r="F32" i="3"/>
  <c r="F31" i="3"/>
  <c r="G30" i="3"/>
  <c r="F30" i="3"/>
  <c r="G28" i="3"/>
  <c r="F27" i="3"/>
  <c r="G26" i="3"/>
  <c r="F26" i="3"/>
  <c r="F25" i="3"/>
  <c r="F24" i="3"/>
  <c r="F23" i="3"/>
  <c r="F22" i="3"/>
  <c r="F21" i="3"/>
  <c r="G20" i="3"/>
  <c r="F20" i="3"/>
  <c r="G18" i="3"/>
  <c r="F18" i="3"/>
  <c r="F17" i="3"/>
  <c r="F16" i="3"/>
  <c r="G15" i="3"/>
  <c r="F15" i="3"/>
  <c r="F14" i="3"/>
  <c r="F13" i="3"/>
  <c r="F11" i="3"/>
  <c r="F10" i="3"/>
  <c r="F9" i="3"/>
  <c r="F8" i="3"/>
  <c r="G7" i="3"/>
  <c r="F7" i="3"/>
  <c r="F5" i="3"/>
  <c r="F3" i="3"/>
  <c r="G2" i="3"/>
  <c r="F2" i="3"/>
  <c r="C150" i="2" l="1"/>
  <c r="D251" i="3"/>
  <c r="C161" i="2"/>
  <c r="C162" i="2" s="1"/>
  <c r="G251" i="3"/>
  <c r="F161" i="2"/>
  <c r="F162" i="2" s="1"/>
  <c r="C154" i="2"/>
  <c r="D246" i="3"/>
  <c r="C155" i="2"/>
  <c r="C157" i="2" s="1"/>
  <c r="E251" i="3"/>
  <c r="D161" i="2"/>
  <c r="D162" i="2" s="1"/>
  <c r="H243" i="3"/>
  <c r="G152" i="2"/>
  <c r="G154" i="2" s="1"/>
  <c r="H236" i="3"/>
  <c r="H232" i="3"/>
  <c r="D130" i="2"/>
  <c r="D117" i="2"/>
  <c r="J92" i="4"/>
  <c r="D127" i="2"/>
  <c r="F92" i="4"/>
  <c r="E134" i="2"/>
  <c r="E129" i="2"/>
  <c r="E126" i="2"/>
  <c r="E117" i="2"/>
  <c r="E124" i="2"/>
  <c r="F102" i="2"/>
  <c r="F130" i="2"/>
  <c r="F134" i="2"/>
  <c r="F124" i="2"/>
  <c r="F133" i="2"/>
  <c r="C127" i="2"/>
  <c r="C136" i="2" s="1"/>
  <c r="C143" i="2" s="1"/>
  <c r="F132" i="2"/>
  <c r="E122" i="2"/>
  <c r="F126" i="2"/>
  <c r="G237" i="3"/>
  <c r="F148" i="2" s="1"/>
  <c r="E243" i="3"/>
  <c r="D243" i="3"/>
  <c r="F250" i="3"/>
  <c r="E245" i="3"/>
  <c r="F236" i="3"/>
  <c r="E147" i="2" s="1"/>
  <c r="F237" i="3"/>
  <c r="E148" i="2" s="1"/>
  <c r="G242" i="3"/>
  <c r="F153" i="2" s="1"/>
  <c r="D239" i="3"/>
  <c r="G232" i="3"/>
  <c r="F242" i="3"/>
  <c r="E153" i="2" s="1"/>
  <c r="F241" i="3"/>
  <c r="E152" i="2" s="1"/>
  <c r="F244" i="3"/>
  <c r="E239" i="3"/>
  <c r="G241" i="3"/>
  <c r="F152" i="2" s="1"/>
  <c r="G244" i="3"/>
  <c r="F155" i="2" s="1"/>
  <c r="G245" i="3"/>
  <c r="F156" i="2" s="1"/>
  <c r="F232" i="3"/>
  <c r="G236" i="3"/>
  <c r="F147" i="2" s="1"/>
  <c r="E232" i="3"/>
  <c r="E150" i="2" l="1"/>
  <c r="E154" i="2"/>
  <c r="F251" i="3"/>
  <c r="E161" i="2"/>
  <c r="E162" i="2" s="1"/>
  <c r="C159" i="2"/>
  <c r="C166" i="2" s="1"/>
  <c r="C170" i="2" s="1"/>
  <c r="F150" i="2"/>
  <c r="F154" i="2"/>
  <c r="E246" i="3"/>
  <c r="D156" i="2"/>
  <c r="D157" i="2" s="1"/>
  <c r="D159" i="2" s="1"/>
  <c r="D166" i="2" s="1"/>
  <c r="D170" i="2" s="1"/>
  <c r="F157" i="2"/>
  <c r="F159" i="2" s="1"/>
  <c r="F166" i="2" s="1"/>
  <c r="F170" i="2" s="1"/>
  <c r="H239" i="3"/>
  <c r="H248" i="3" s="1"/>
  <c r="H255" i="3" s="1"/>
  <c r="H259" i="3" s="1"/>
  <c r="G147" i="2"/>
  <c r="G150" i="2" s="1"/>
  <c r="G159" i="2" s="1"/>
  <c r="G166" i="2" s="1"/>
  <c r="G170" i="2" s="1"/>
  <c r="F246" i="3"/>
  <c r="E155" i="2"/>
  <c r="E157" i="2" s="1"/>
  <c r="E159" i="2" s="1"/>
  <c r="E166" i="2" s="1"/>
  <c r="E170" i="2" s="1"/>
  <c r="F117" i="2"/>
  <c r="F127" i="2"/>
  <c r="D136" i="2"/>
  <c r="D143" i="2" s="1"/>
  <c r="E248" i="3"/>
  <c r="E255" i="3" s="1"/>
  <c r="E259" i="3" s="1"/>
  <c r="E127" i="2"/>
  <c r="G246" i="3"/>
  <c r="F243" i="3"/>
  <c r="D248" i="3"/>
  <c r="D255" i="3" s="1"/>
  <c r="D259" i="3" s="1"/>
  <c r="G243" i="3"/>
  <c r="F239" i="3"/>
  <c r="G239" i="3"/>
  <c r="E136" i="2" l="1"/>
  <c r="E143" i="2" s="1"/>
  <c r="F136" i="2"/>
  <c r="F248" i="3"/>
  <c r="G248" i="3"/>
  <c r="F255" i="3" l="1"/>
  <c r="F143" i="2"/>
  <c r="G255" i="3"/>
  <c r="F259" i="3" l="1"/>
  <c r="G259" i="3"/>
</calcChain>
</file>

<file path=xl/sharedStrings.xml><?xml version="1.0" encoding="utf-8"?>
<sst xmlns="http://schemas.openxmlformats.org/spreadsheetml/2006/main" count="597" uniqueCount="498">
  <si>
    <t>שם חשבון</t>
  </si>
  <si>
    <t xml:space="preserve">תקציב שנתי 2017   </t>
  </si>
  <si>
    <t>ביצוע  שנתי עד 10/2017.</t>
  </si>
  <si>
    <t>ביצוע חזוי לשנת 2017</t>
  </si>
  <si>
    <t>תקציב מוצע 2018</t>
  </si>
  <si>
    <t>ארנונה כללית</t>
  </si>
  <si>
    <t>הכנסות ממכירת מים</t>
  </si>
  <si>
    <t>עצמיות חינוך</t>
  </si>
  <si>
    <t>עצמיות רווחה</t>
  </si>
  <si>
    <t>עצמיות אחר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</si>
  <si>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</si>
  <si>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</si>
  <si>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</si>
  <si>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</si>
  <si>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</si>
  <si>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</si>
  <si>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</si>
  <si>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</si>
  <si>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</si>
  <si>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</si>
  <si>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</si>
  <si>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</si>
  <si>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משרות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</si>
  <si>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</si>
  <si>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</si>
  <si>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</si>
  <si>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</si>
  <si>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</si>
  <si>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</si>
  <si>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</si>
  <si>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</si>
  <si>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</si>
  <si>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</si>
  <si>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</si>
  <si>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</si>
  <si>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</si>
  <si>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</si>
  <si>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</si>
  <si>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</si>
  <si>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</si>
  <si>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העברה לכיסוי גרעון מצטבר</t>
  </si>
  <si>
    <t>הנחות בארנונה (הוצאות)</t>
  </si>
  <si>
    <t>סה"כ הוצאות</t>
  </si>
  <si>
    <t>חשבון</t>
  </si>
  <si>
    <t>ארנונה כללית למגורים-שוטף</t>
  </si>
  <si>
    <t>אורנונה  2010</t>
  </si>
  <si>
    <t>ארנונה פגורים-2011</t>
  </si>
  <si>
    <t>ארנונה פגורים 2012</t>
  </si>
  <si>
    <t>ארנונה פגורים 2013</t>
  </si>
  <si>
    <t>ארנונה פגורים 2014</t>
  </si>
  <si>
    <t>ארנונה פגורים 2015</t>
  </si>
  <si>
    <t>ארנונה פגורים 2016</t>
  </si>
  <si>
    <t>ארנונה פגורים 2008</t>
  </si>
  <si>
    <t>ארנונה פגורים 2009</t>
  </si>
  <si>
    <t>הכנסות ארנונה-חוב מסופק</t>
  </si>
  <si>
    <t>הנחות סוציאליות</t>
  </si>
  <si>
    <t>תעודות ואישורים אגרת בגין</t>
  </si>
  <si>
    <t>היטל השבחה</t>
  </si>
  <si>
    <t>חלוקת הכנסות ארנונה תפן</t>
  </si>
  <si>
    <t>מענק כללי</t>
  </si>
  <si>
    <t>מענקים חד פעמיים</t>
  </si>
  <si>
    <t>מענק מותנה</t>
  </si>
  <si>
    <t>מענק בחירות משרד הפנים</t>
  </si>
  <si>
    <t>אישור  לרוכלים</t>
  </si>
  <si>
    <t>מכונת טיאוט-שכירות</t>
  </si>
  <si>
    <t>אגרת רישיון עסקים</t>
  </si>
  <si>
    <t>דמי בדיקת בשר</t>
  </si>
  <si>
    <t>מלחמה בכלבת אגרת בגין שרו</t>
  </si>
  <si>
    <t>מחזור</t>
  </si>
  <si>
    <t>בטיחות ציוד מוסדות</t>
  </si>
  <si>
    <t>פקח תחבור ציבורית- משרד התחבורה</t>
  </si>
  <si>
    <t>משרד מהנדס הרשות</t>
  </si>
  <si>
    <t>הכנסות אג' כבישים-חוב מסופק</t>
  </si>
  <si>
    <t>מעמד האישה - משרד לשוויון חברתי</t>
  </si>
  <si>
    <t>הכנסות שונות</t>
  </si>
  <si>
    <t>גנ"י ח'-השתת הורים תזונה</t>
  </si>
  <si>
    <t>מ.חנוך גן חובה</t>
  </si>
  <si>
    <t>מ. חנוך תת   חובה</t>
  </si>
  <si>
    <t>גני ילדים חינוך מיוחד</t>
  </si>
  <si>
    <t>גבייה אגרת חנוך פגורים</t>
  </si>
  <si>
    <t>גבית  קרן קרב</t>
  </si>
  <si>
    <t>השת' רשויות בשכל"מ</t>
  </si>
  <si>
    <t>מ. חנוך בי"ס יסודי</t>
  </si>
  <si>
    <t>חינוך פגורים-חוב מסופק</t>
  </si>
  <si>
    <t>מניעת נשירה עכשוי</t>
  </si>
  <si>
    <t>פרויקט העשרה</t>
  </si>
  <si>
    <t>קיטנות קיץ החופש הגדול</t>
  </si>
  <si>
    <t>השתתפות הורים הסעות מחוננים</t>
  </si>
  <si>
    <t>השתתפות הורים חינוך דיגטלי</t>
  </si>
  <si>
    <t>מ.חינוך בי"ס חט"ב</t>
  </si>
  <si>
    <t>בתי"ס על יסודי/ממשלה</t>
  </si>
  <si>
    <t>בי"ס מקיף -מ.חינוך</t>
  </si>
  <si>
    <t>שומרים לרשיות מקומ</t>
  </si>
  <si>
    <t>שפ"י</t>
  </si>
  <si>
    <t>ביטוח תלמדים -בתי ספר</t>
  </si>
  <si>
    <t>סייעות</t>
  </si>
  <si>
    <t>קב"סים</t>
  </si>
  <si>
    <t>הסעת ילדים בתי"ס אוטובוס</t>
  </si>
  <si>
    <t>הסעת ילדים חינוך מיוחד טרנזיט</t>
  </si>
  <si>
    <t>לווי תלמידים חינוך מיוחד</t>
  </si>
  <si>
    <t>משרד חינוך מתי"א</t>
  </si>
  <si>
    <t>קב"ט מוסדות חינוך</t>
  </si>
  <si>
    <t xml:space="preserve"> </t>
  </si>
  <si>
    <t>מתנ"ס תוכנית ציל"ה תזונה</t>
  </si>
  <si>
    <t>מתנ"ס הכנסות</t>
  </si>
  <si>
    <t xml:space="preserve">מתנ"ס החזר הלואה </t>
  </si>
  <si>
    <t>מוקדי הפעל נוער</t>
  </si>
  <si>
    <t>מוקד הפעלת נוער-משרד חינוך</t>
  </si>
  <si>
    <t>תוכנית ערך כדרך לנוער</t>
  </si>
  <si>
    <t>עיר הילדים והנוער</t>
  </si>
  <si>
    <t>תרבות ואומנות</t>
  </si>
  <si>
    <t>הכנסות תוכנית מצילה</t>
  </si>
  <si>
    <t>קייטנות נוער אתגרית</t>
  </si>
  <si>
    <t>מ. חנוך ספורט</t>
  </si>
  <si>
    <t>שכר עובדי המחלקה</t>
  </si>
  <si>
    <t>פעולות ארגוניות</t>
  </si>
  <si>
    <t>מרכזי ועדות חוק סיעוד</t>
  </si>
  <si>
    <t>תוכנית עוצמ - מ. רווחה</t>
  </si>
  <si>
    <t>משפחות במצוקה בקהילה</t>
  </si>
  <si>
    <t>סיוע למשפחות עם ילד במצוקה</t>
  </si>
  <si>
    <t>מרכז טיפול באלימות נשים מוכות</t>
  </si>
  <si>
    <t>מקלטים לנשים מוכות</t>
  </si>
  <si>
    <t>טיפול בילד בקהילה</t>
  </si>
  <si>
    <t>השתת' משפחתון ביטוח</t>
  </si>
  <si>
    <t>רכזות משפתונים</t>
  </si>
  <si>
    <t>ילדי אמהות יום - תמ"ת</t>
  </si>
  <si>
    <t>אחזקת ילדים בפנימיות</t>
  </si>
  <si>
    <t>ילדים במעונות יום</t>
  </si>
  <si>
    <t>השתפות זקנים בטיול</t>
  </si>
  <si>
    <t>טיפול בזקן בקהילה</t>
  </si>
  <si>
    <t>מעדונים לזקינים מעושרים</t>
  </si>
  <si>
    <t>סדור מפגרים מוסדות</t>
  </si>
  <si>
    <t>נופשונים למפגר</t>
  </si>
  <si>
    <t>מפגרים במעון טיפולי</t>
  </si>
  <si>
    <t>מעשי"ם</t>
  </si>
  <si>
    <t>הסעות תומכים למפגר</t>
  </si>
  <si>
    <t>דמי ליווי לעיוור</t>
  </si>
  <si>
    <t>אחזקת נכים בפנימיות</t>
  </si>
  <si>
    <t>תוכניות למעבר תעסוקה מוג ונתמ</t>
  </si>
  <si>
    <t>מ.יום והסעות שיקומי לנכים</t>
  </si>
  <si>
    <t>מרכזי יום לנכים קשים</t>
  </si>
  <si>
    <t>ליווי למעון שיקומי</t>
  </si>
  <si>
    <t>טיפול בנערות במצוקה   ועד-י מעטפות</t>
  </si>
  <si>
    <t>תוכנית לאומית לילדים בסיכון</t>
  </si>
  <si>
    <t>תוכניות שוטפות מגזר דרוזי</t>
  </si>
  <si>
    <t>מים פגורים</t>
  </si>
  <si>
    <t>מים פיגורים 2012</t>
  </si>
  <si>
    <t>הכנסות מים-חוב מסופק</t>
  </si>
  <si>
    <t>השכרת נכסים</t>
  </si>
  <si>
    <t>היטל ביוב</t>
  </si>
  <si>
    <t>אגרת ביוב פגורים 2010</t>
  </si>
  <si>
    <t>אגרת פיגורים ביוב 2012</t>
  </si>
  <si>
    <t>בטיחות בדרכים - השתתפות ממשלה</t>
  </si>
  <si>
    <t>הכנסות אגרת ביוב-חוב מסופק</t>
  </si>
  <si>
    <t>ריבית ודבדנד</t>
  </si>
  <si>
    <t>הכנסות משנים קודמות</t>
  </si>
  <si>
    <t>החזר קרן גמלאות</t>
  </si>
  <si>
    <t>העברה מקרנות המועצה</t>
  </si>
  <si>
    <t>הכנס פעולות אכיפה עבור בצורית</t>
  </si>
  <si>
    <t>הנהלה -משכורות</t>
  </si>
  <si>
    <t>מועצה  מים-חשמל</t>
  </si>
  <si>
    <t>ביטוח מועצה</t>
  </si>
  <si>
    <t>הנהלה ומועצה אירוח וכיבוד</t>
  </si>
  <si>
    <t>הוצ דמי חבר</t>
  </si>
  <si>
    <t>הנהלה ומועצה ספרות מקצועית</t>
  </si>
  <si>
    <t>הנהלה-דואר וטלפון</t>
  </si>
  <si>
    <t>הנהלה ומועצה הוצאות פרסום</t>
  </si>
  <si>
    <t>הנהלה ומועצה הוצאות משרדי</t>
  </si>
  <si>
    <t>הנהלה ומועצה תקשורת</t>
  </si>
  <si>
    <t>הנהלה-ציוד</t>
  </si>
  <si>
    <t>הנהלת עבודות קבלניות</t>
  </si>
  <si>
    <t>ציוד וחומרים</t>
  </si>
  <si>
    <t>משכורת נבחרים</t>
  </si>
  <si>
    <t>נבחרים- דלק רכב  ותחזוקה</t>
  </si>
  <si>
    <t>טל נבחרים</t>
  </si>
  <si>
    <t>מבקר פנים -שכר</t>
  </si>
  <si>
    <t>גזברות</t>
  </si>
  <si>
    <t>מבקר פנים שונות</t>
  </si>
  <si>
    <t>משכורת מזכירים</t>
  </si>
  <si>
    <t>השתלמות ואגוד מנהלים</t>
  </si>
  <si>
    <t>מינהל כללי-הוצאות משרדיות</t>
  </si>
  <si>
    <t>פעילות חברתית</t>
  </si>
  <si>
    <t>הצטיידות מועצה/מיחשוב</t>
  </si>
  <si>
    <t>מחלקה משפטית שכר</t>
  </si>
  <si>
    <t>ייעוץ משפטי</t>
  </si>
  <si>
    <t>הוצאות משפטיות</t>
  </si>
  <si>
    <t>הוצאות בחירות</t>
  </si>
  <si>
    <t>הוצאות בחירות - קבלניות</t>
  </si>
  <si>
    <t>גזברות שכר</t>
  </si>
  <si>
    <t>גזברות טלפון +תקשורת</t>
  </si>
  <si>
    <t>הנהלת הגזברות הוצאות משרדיות</t>
  </si>
  <si>
    <t>מנהל רכש - שכר</t>
  </si>
  <si>
    <t>משכורת הנה"ח</t>
  </si>
  <si>
    <t>הנהלת חשבונות מיכון ועבוד</t>
  </si>
  <si>
    <t>ייעוץ רואי חשבון</t>
  </si>
  <si>
    <t>שכר-מדור שכר</t>
  </si>
  <si>
    <t>משכורת גבייה</t>
  </si>
  <si>
    <t>אוטומציה</t>
  </si>
  <si>
    <t>גבייה /ציוד</t>
  </si>
  <si>
    <t>שירותי גביה</t>
  </si>
  <si>
    <t>עמלות והוצאות בנקאיות עמל</t>
  </si>
  <si>
    <t>הוצאות מימון ריבית משיכות</t>
  </si>
  <si>
    <t>הוצאות מימון תשלומים קרן</t>
  </si>
  <si>
    <t>הוצאות מימון תשלומים רבית</t>
  </si>
  <si>
    <t>הוצאות מימון תשלומים הצמד</t>
  </si>
  <si>
    <t>משכורת תברואה</t>
  </si>
  <si>
    <t>ציוד ותוכנות</t>
  </si>
  <si>
    <t>תברואה חומרים</t>
  </si>
  <si>
    <t>מכונת טיאוט דלק ושמנים</t>
  </si>
  <si>
    <t>מכונת טיאוט תיקונים</t>
  </si>
  <si>
    <t>מכונת טיאוט רשוי וביטוח</t>
  </si>
  <si>
    <t>איסוף אשפה-ע.קבלניות</t>
  </si>
  <si>
    <t>תחנת מעבר - טיפול ואחזקה</t>
  </si>
  <si>
    <t>תברואה ריסוס ופינוי מפגעים</t>
  </si>
  <si>
    <t>פיקוח -שכר</t>
  </si>
  <si>
    <t>משכורת-וטרינר</t>
  </si>
  <si>
    <t>פיקוח וטרינרי -שונ</t>
  </si>
  <si>
    <t>השתת' משכורת וטרינר</t>
  </si>
  <si>
    <t>תברואה עב קבלניות (פנוי קרטון)</t>
  </si>
  <si>
    <t>אחזקת תחנת מעבר גת</t>
  </si>
  <si>
    <t>קצין בטחון-שכר</t>
  </si>
  <si>
    <t>הוצאות טלפון</t>
  </si>
  <si>
    <t>רכב ביטחון</t>
  </si>
  <si>
    <t>רישוי ובטוח רכב ביטחון</t>
  </si>
  <si>
    <t>ביטחון-עבודות קבלניות</t>
  </si>
  <si>
    <t>ביטחון שונות</t>
  </si>
  <si>
    <t>הג"א</t>
  </si>
  <si>
    <t>כיבוי אש שונות</t>
  </si>
  <si>
    <t>כיבוי אש -השתתפות</t>
  </si>
  <si>
    <t>בטיחות בדרכים -ממשלה</t>
  </si>
  <si>
    <t>משכורת מהנדסים</t>
  </si>
  <si>
    <t>טכנית -קשר וטלפון</t>
  </si>
  <si>
    <t>משרד מהנדס הוצ' פרסומים</t>
  </si>
  <si>
    <t>הוצאות משרד</t>
  </si>
  <si>
    <t>עבודות תכנון מח' טכנית</t>
  </si>
  <si>
    <t>השתתפות בועדת תכנון ובניה</t>
  </si>
  <si>
    <t>מדידות עבודות קבלניות</t>
  </si>
  <si>
    <t>מוסדות ציבור - שכר</t>
  </si>
  <si>
    <t>מינהל נכסים ציבוריים</t>
  </si>
  <si>
    <t>עבודות הנחת אבן פינה בית מורשת</t>
  </si>
  <si>
    <t>דלק ושמנים טנדר</t>
  </si>
  <si>
    <t>אחזקה ותיקונים טנדר</t>
  </si>
  <si>
    <t>רשוי ובטוח טנדר</t>
  </si>
  <si>
    <t>דלק ושמנים מחפרון</t>
  </si>
  <si>
    <t>אחזקה ותיקונים מחפרון</t>
  </si>
  <si>
    <t>רשוי ובטוח מחפרון</t>
  </si>
  <si>
    <t>תאורת רחובות חשמל</t>
  </si>
  <si>
    <t>ציוד חשמל</t>
  </si>
  <si>
    <t>עבודות קבלניות-תאורת רחוב</t>
  </si>
  <si>
    <t>פקח תחבורה -שכר</t>
  </si>
  <si>
    <t>ציוד ואחזקות תיעול וניקוז</t>
  </si>
  <si>
    <t>תיעול וניקוז השתתפיות</t>
  </si>
  <si>
    <t>גינון הוצ' מים-חשמל</t>
  </si>
  <si>
    <t>ציוד וכלים</t>
  </si>
  <si>
    <t>עבודות קבלניות גינון</t>
  </si>
  <si>
    <t>בית קבורות-שונות</t>
  </si>
  <si>
    <t>חגיגות וטכסים אחרים אירוח</t>
  </si>
  <si>
    <t>מוקד עירוני</t>
  </si>
  <si>
    <t>מעמד האישה - הוצאות</t>
  </si>
  <si>
    <t>עידוד קייט ותיירות-משכורת</t>
  </si>
  <si>
    <t>תיירות-שונות</t>
  </si>
  <si>
    <t>משכורת מנהל חנוך</t>
  </si>
  <si>
    <t>מינהל חינוך -תוכנית אב</t>
  </si>
  <si>
    <t>אגף חינוך-שונות</t>
  </si>
  <si>
    <t>הסעות מחוננים</t>
  </si>
  <si>
    <t>גני ילדים משכורת</t>
  </si>
  <si>
    <t>חשמל-מאור גנים חובה</t>
  </si>
  <si>
    <t>גן חובה - מיכון</t>
  </si>
  <si>
    <t>גנ"י-עבודות קבלניות</t>
  </si>
  <si>
    <t>משכרת גני תת חובה</t>
  </si>
  <si>
    <t>שכ"ד גני תת חובה</t>
  </si>
  <si>
    <t>טרום חובה חומרים</t>
  </si>
  <si>
    <t>גננות עובדות מדינה</t>
  </si>
  <si>
    <t>חינוך מיוחד-שכ"ע</t>
  </si>
  <si>
    <t>גן ח"מ ציוד וחומרים</t>
  </si>
  <si>
    <t>עבודות קבלניות גן טיפולי</t>
  </si>
  <si>
    <t>משכרת ב"ס ייסודי</t>
  </si>
  <si>
    <t>תלמידי חוץ</t>
  </si>
  <si>
    <t>תקציב בית ספר א סלמאן פר'ג</t>
  </si>
  <si>
    <t>תקציב בית ספר יסודי ב'</t>
  </si>
  <si>
    <t>תקציב בית ספר יסודי אלחכמה גת</t>
  </si>
  <si>
    <t>הזנה מסגרת פעילות קיץ מועדונית</t>
  </si>
  <si>
    <t>רכז פר"ח-פרויקט חינוכי</t>
  </si>
  <si>
    <t>פעילות קייטנות וסדנאות קיץ</t>
  </si>
  <si>
    <t>פרויקט חינוכי/השתתפות</t>
  </si>
  <si>
    <t>קרן קרב</t>
  </si>
  <si>
    <t>משכורת חט"ב</t>
  </si>
  <si>
    <t>משכורת כיתת תל"ם</t>
  </si>
  <si>
    <t>הוצאות חשמל חט"ב</t>
  </si>
  <si>
    <t>הוצאות שונות חט"ב</t>
  </si>
  <si>
    <t>תקציב בתקציב חט"ב</t>
  </si>
  <si>
    <t>מועדון בית ספר ספורט</t>
  </si>
  <si>
    <t>שכר בי"ס תיכון</t>
  </si>
  <si>
    <t>שכר תיכון תוכנית אומץ</t>
  </si>
  <si>
    <t>פיצויים שכר עובדי חינוך</t>
  </si>
  <si>
    <t>בית ספר תיכון חשמל</t>
  </si>
  <si>
    <t>בית ספר תיכון טלפון ותקשורת</t>
  </si>
  <si>
    <t>ציוד מעבדה מדעית לבגרות</t>
  </si>
  <si>
    <t>תקציב  בי"ס תיכון</t>
  </si>
  <si>
    <t>שכר עובדי מינהל בית ספר תיכון</t>
  </si>
  <si>
    <t>שדרוג תשתיות</t>
  </si>
  <si>
    <t>שמירה מוסדות חינוך</t>
  </si>
  <si>
    <t>פסיכולוג חינוכי</t>
  </si>
  <si>
    <t>שרות פסיכולוגי חינוכי עבו</t>
  </si>
  <si>
    <t>ביטוח תלמידים</t>
  </si>
  <si>
    <t>סייעות בתי ספר</t>
  </si>
  <si>
    <t>ציוד לסייעות</t>
  </si>
  <si>
    <t>קב"סים שכר</t>
  </si>
  <si>
    <t>משכ' מנ"ע-מניעת נשירה בחט"ב</t>
  </si>
  <si>
    <t>מניעת נשירה עכשוית</t>
  </si>
  <si>
    <t>הסעת אוטובוסים</t>
  </si>
  <si>
    <t>הסעת ח"מ ולווי ילדים טרנזיט</t>
  </si>
  <si>
    <t>ליווי ילדים ח"מ</t>
  </si>
  <si>
    <t>מתי"א -שכר</t>
  </si>
  <si>
    <t>מתי"א -חשמל+מים</t>
  </si>
  <si>
    <t>תקציב מתי"א</t>
  </si>
  <si>
    <t>שכר ספרנים ולבורנטים</t>
  </si>
  <si>
    <t>שכ"ד לספריה</t>
  </si>
  <si>
    <t>ספריה הוצ טלפון</t>
  </si>
  <si>
    <t>ספריה - אחזקה</t>
  </si>
  <si>
    <t>מתנ"סים פעילות</t>
  </si>
  <si>
    <t>מתנ"ס -הקצבה</t>
  </si>
  <si>
    <t>משכרת אגף ונוער</t>
  </si>
  <si>
    <t>משכורת רכזת נוער</t>
  </si>
  <si>
    <t>פעילות נוער ערך כדרך</t>
  </si>
  <si>
    <t>מוקדי הפעלת נוער מעשים טובים</t>
  </si>
  <si>
    <t>קידום נוער</t>
  </si>
  <si>
    <t>אחזקת מגרשי ספורט שכר</t>
  </si>
  <si>
    <t>מ.ספורט-מאור חשמל</t>
  </si>
  <si>
    <t>מ.ספורט-ציוד</t>
  </si>
  <si>
    <t>עבודות שזרוע</t>
  </si>
  <si>
    <t>ספורט-שונות</t>
  </si>
  <si>
    <t>משכרת תחנת אם וילד</t>
  </si>
  <si>
    <t>משכ' אם וילד פיצויי פרישה</t>
  </si>
  <si>
    <t>חשמל ומים תחנת ט.חלב</t>
  </si>
  <si>
    <t>מוסדות בריאות אחירים</t>
  </si>
  <si>
    <t>מינהל הרווחה השכר הקובע</t>
  </si>
  <si>
    <t>מים חשמל ארנונה בנין רווח</t>
  </si>
  <si>
    <t>מחלקת רווחה-הוצ טלפון</t>
  </si>
  <si>
    <t>רווחה ציוד</t>
  </si>
  <si>
    <t>ציוד לשכה</t>
  </si>
  <si>
    <t>ציוד ללשכה</t>
  </si>
  <si>
    <t>משכורת ושכר מפעילי תוכנית עוצמ</t>
  </si>
  <si>
    <t>הוצאות פעולה תוכנית עוצמה</t>
  </si>
  <si>
    <t>סיוע למשפחחות עם ילד</t>
  </si>
  <si>
    <t>משכורות-רכזת משפחתון</t>
  </si>
  <si>
    <t>טיפול בילד השתתפויות</t>
  </si>
  <si>
    <t>פנים לקהילה השתתפויות</t>
  </si>
  <si>
    <t>תוכנית עם הפנים לקהילה</t>
  </si>
  <si>
    <t>ילדי אמהות יום-תמ"ת</t>
  </si>
  <si>
    <t>ילדים במעון יום - מיכ</t>
  </si>
  <si>
    <t>משכורת-רכז בית קשיש</t>
  </si>
  <si>
    <t>פעילות לקשישים</t>
  </si>
  <si>
    <t>מועדונים לזקנים</t>
  </si>
  <si>
    <t>מעדונים לזקנים</t>
  </si>
  <si>
    <t>מועדונים מועשרים</t>
  </si>
  <si>
    <t>סידור מפגרים במוסדות תמיכ</t>
  </si>
  <si>
    <t>נופשונים למפגר/צפון</t>
  </si>
  <si>
    <t>שרותים תומכים למפגר</t>
  </si>
  <si>
    <t>תוכניות מעבר</t>
  </si>
  <si>
    <t>מ.יום שיקומי לנכים</t>
  </si>
  <si>
    <t>הסעות למעון יום שיקומי</t>
  </si>
  <si>
    <t>מקלטים לנערות</t>
  </si>
  <si>
    <t>שכר עובדי מוסדות דת</t>
  </si>
  <si>
    <t>מוסדות דת -מאור חשמל</t>
  </si>
  <si>
    <t>עבודות קבלניות</t>
  </si>
  <si>
    <t>התשפות תקציב אכה"ס</t>
  </si>
  <si>
    <t>תברואה</t>
  </si>
  <si>
    <t>השתתפות בתברי"ם</t>
  </si>
  <si>
    <t>הוצאות שנים קודמות</t>
  </si>
  <si>
    <t>הוצ' פרישה ופיצויים עובדים</t>
  </si>
  <si>
    <t>הנחות סוציאלות</t>
  </si>
  <si>
    <t>משכורות-פנסיונרים</t>
  </si>
  <si>
    <t>טבלה 4: שכר ומשרות לפי פרקי תקציב</t>
  </si>
  <si>
    <t>מס'</t>
  </si>
  <si>
    <t>שם הפרק</t>
  </si>
  <si>
    <t xml:space="preserve">שם משרה </t>
  </si>
  <si>
    <t xml:space="preserve"> תקציב  2017</t>
  </si>
  <si>
    <t xml:space="preserve"> ביצוע בפועל 2017</t>
  </si>
  <si>
    <t>מסגרת תקציב לשנת 2018</t>
  </si>
  <si>
    <t>ביאורים</t>
  </si>
  <si>
    <t>מספר משרות</t>
  </si>
  <si>
    <t xml:space="preserve">                      עלויות שכר</t>
  </si>
  <si>
    <t xml:space="preserve">    עלויות שכר</t>
  </si>
  <si>
    <t>הסברים לשינויים בתקציב 2008 
לעומת הביצוע בפועל לשנת 2007</t>
  </si>
  <si>
    <t>הנהלה וכלליות</t>
  </si>
  <si>
    <t>נבחרים</t>
  </si>
  <si>
    <t>סה"כ נבחרים</t>
  </si>
  <si>
    <t>מנהל כללי</t>
  </si>
  <si>
    <t>הנהלת המועצה</t>
  </si>
  <si>
    <t>מבקר פנים</t>
  </si>
  <si>
    <t>מחלקה משפטית</t>
  </si>
  <si>
    <t>סה"כ 61</t>
  </si>
  <si>
    <t>מנהל כספי</t>
  </si>
  <si>
    <t>מנהל רכש ומחסן</t>
  </si>
  <si>
    <t>הנהלת חשבונות</t>
  </si>
  <si>
    <t>מדור שכר</t>
  </si>
  <si>
    <t xml:space="preserve">גביה </t>
  </si>
  <si>
    <t>סה"כ 62</t>
  </si>
  <si>
    <t>סה"כ הנהלה וכלליות</t>
  </si>
  <si>
    <t>שירותים מקומיים</t>
  </si>
  <si>
    <t xml:space="preserve">תברואה </t>
  </si>
  <si>
    <t>פיקוח עזר</t>
  </si>
  <si>
    <t>וטרינר</t>
  </si>
  <si>
    <t>סה"כ 71</t>
  </si>
  <si>
    <t>שמירה ובטחון</t>
  </si>
  <si>
    <t>קצין ביטחון</t>
  </si>
  <si>
    <t>סה"כ 72</t>
  </si>
  <si>
    <t>תכנון ובנין עיר</t>
  </si>
  <si>
    <t>מהנדסים</t>
  </si>
  <si>
    <t>סה"כ 73</t>
  </si>
  <si>
    <t>נכסים ציבוריים</t>
  </si>
  <si>
    <t>פקח תחבורה ציבורית</t>
  </si>
  <si>
    <t>מוסדות ציבור</t>
  </si>
  <si>
    <t xml:space="preserve">אחזקה ונקיון </t>
  </si>
  <si>
    <t>סה"כ 74</t>
  </si>
  <si>
    <t>שרותים עירוניים</t>
  </si>
  <si>
    <t>סה"כ 76</t>
  </si>
  <si>
    <t>עידוד תיירות</t>
  </si>
  <si>
    <t>תיירות</t>
  </si>
  <si>
    <t>סה"כ 79</t>
  </si>
  <si>
    <t>סה"כ שרותים מקומיים והנהלה</t>
  </si>
  <si>
    <t>שרותים ממלכתיים</t>
  </si>
  <si>
    <t>חינוך</t>
  </si>
  <si>
    <t>מינהל חינוך</t>
  </si>
  <si>
    <t>עוזרות גננות חובה</t>
  </si>
  <si>
    <t>עוזרות גננות טרום חובה</t>
  </si>
  <si>
    <t>עוזרות גננות ח"מ</t>
  </si>
  <si>
    <t>עובדי מינהל יסודיים</t>
  </si>
  <si>
    <t>רכז פרח פרויקט חינוכי</t>
  </si>
  <si>
    <t>עובדי מינהל חטיבת ביניים</t>
  </si>
  <si>
    <t>מורים תיכון</t>
  </si>
  <si>
    <t>שכר עובדי מינהל תיכון</t>
  </si>
  <si>
    <t>פסיכולוגים</t>
  </si>
  <si>
    <t>סייעות כיתתיות</t>
  </si>
  <si>
    <t>קב"ס</t>
  </si>
  <si>
    <t>משכורת מנ"ע בחט"ב</t>
  </si>
  <si>
    <t xml:space="preserve">מתי"א </t>
  </si>
  <si>
    <t>סה"כ 81</t>
  </si>
  <si>
    <t>תרבות</t>
  </si>
  <si>
    <t>ספרנים</t>
  </si>
  <si>
    <t>מנהל נוער</t>
  </si>
  <si>
    <t>רכז מצילה</t>
  </si>
  <si>
    <t>ספורט</t>
  </si>
  <si>
    <t>סה"כ 82</t>
  </si>
  <si>
    <t>בריאות</t>
  </si>
  <si>
    <t xml:space="preserve">מינהל תחנת אם וילד </t>
  </si>
  <si>
    <t>סה"כ 83</t>
  </si>
  <si>
    <t>רווחה</t>
  </si>
  <si>
    <t>עובדי מינהל רווחה</t>
  </si>
  <si>
    <t>רכזת משפחתון</t>
  </si>
  <si>
    <t>רכז קשישים</t>
  </si>
  <si>
    <t>סה"כ 84</t>
  </si>
  <si>
    <t>דת</t>
  </si>
  <si>
    <t>שרותי דת</t>
  </si>
  <si>
    <t>סה"כ 85</t>
  </si>
  <si>
    <t>קליטת עליה</t>
  </si>
  <si>
    <t>איכות סביבה</t>
  </si>
  <si>
    <t>סה"כ שרותים ממלכתיים</t>
  </si>
  <si>
    <t>מפעלים</t>
  </si>
  <si>
    <t>מים</t>
  </si>
  <si>
    <t>משק מים עובד מושאל</t>
  </si>
  <si>
    <t>סה"כ 91</t>
  </si>
  <si>
    <t>בתי מטבחיים</t>
  </si>
  <si>
    <t>נכסים</t>
  </si>
  <si>
    <t>מפעלי ביוב</t>
  </si>
  <si>
    <t>סה"כ מפעלים</t>
  </si>
  <si>
    <t>גימלאים</t>
  </si>
  <si>
    <t>סה"כ כללי</t>
  </si>
  <si>
    <t>א</t>
  </si>
  <si>
    <t xml:space="preserve">ב </t>
  </si>
  <si>
    <t>נייוד למוקד עירוני 76 ו- 841</t>
  </si>
  <si>
    <t>ג</t>
  </si>
  <si>
    <t>נייוד ל- 8126</t>
  </si>
  <si>
    <t>ד</t>
  </si>
  <si>
    <t>ה</t>
  </si>
  <si>
    <t>ו</t>
  </si>
  <si>
    <t>ז</t>
  </si>
  <si>
    <t>לווי 0.25 משרה</t>
  </si>
  <si>
    <t>ח</t>
  </si>
  <si>
    <t>תקנון עובדים שעתיים</t>
  </si>
  <si>
    <t>ט</t>
  </si>
  <si>
    <t>י</t>
  </si>
  <si>
    <t>חדשים מנהלן וטכנאי מעבדות לפ תקן</t>
  </si>
  <si>
    <t>נייוד ל 711</t>
  </si>
  <si>
    <t>י"א</t>
  </si>
  <si>
    <t>לפי תקן מחלקת רווחה</t>
  </si>
  <si>
    <t>י"ב</t>
  </si>
  <si>
    <t>פרישת עובדים ופטירת גמלאיים</t>
  </si>
  <si>
    <t>י"ג</t>
  </si>
  <si>
    <t>פרישה</t>
  </si>
  <si>
    <t>במקום עובד פורש, לא מאויש</t>
  </si>
  <si>
    <t>חדש מתוקצב, לא מאויש</t>
  </si>
  <si>
    <t>נייוד ל- 761  , וממתי"א 8179</t>
  </si>
  <si>
    <t>נוסף נציב תלונות הציבור 0.25 משרה</t>
  </si>
  <si>
    <t>***</t>
  </si>
  <si>
    <t>****</t>
  </si>
  <si>
    <t>סעיפ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</si>
</sst>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0_ ;\-#,##0.00\ "/>
  </numFmts>
  <fonts count="1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name val="David"/>
      <family val="2"/>
      <charset val="177"/>
    </font>
    <font>
      <sz val="10"/>
      <name val="David"/>
      <family val="2"/>
    </font>
    <font>
      <b/>
      <sz val="12"/>
      <name val="David"/>
      <family val="2"/>
      <charset val="177"/>
    </font>
    <font>
      <b/>
      <sz val="12"/>
      <name val="Monotype Hadassah"/>
      <charset val="177"/>
    </font>
    <font>
      <b/>
      <sz val="12"/>
      <name val="David"/>
      <family val="2"/>
    </font>
    <font>
      <b/>
      <sz val="12"/>
      <name val="Arial (Hebrew)"/>
      <family val="2"/>
      <charset val="177"/>
    </font>
    <font>
      <sz val="12"/>
      <name val="David"/>
      <family val="2"/>
    </font>
    <font>
      <sz val="12"/>
      <name val="Arial (Hebrew)"/>
      <family val="2"/>
      <charset val="177"/>
    </font>
    <font>
      <b/>
      <u/>
      <sz val="12"/>
      <name val="David"/>
      <family val="2"/>
    </font>
    <font>
      <sz val="12"/>
      <name val="David"/>
      <family val="2"/>
      <charset val="177"/>
    </font>
    <font>
      <sz val="12"/>
      <name val="Arial (Hebrew)"/>
      <charset val="177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164" fontId="1" fillId="0" borderId="3" xfId="1" applyNumberFormat="1" applyFont="1" applyBorder="1"/>
    <xf numFmtId="0" fontId="0" fillId="0" borderId="3" xfId="0" applyBorder="1" applyAlignment="1">
      <alignment wrapText="1"/>
    </xf>
    <xf numFmtId="0" fontId="2" fillId="0" borderId="5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164" fontId="1" fillId="0" borderId="5" xfId="1" applyNumberFormat="1" applyFont="1" applyBorder="1"/>
    <xf numFmtId="3" fontId="0" fillId="0" borderId="0" xfId="0" applyNumberForma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5" fillId="0" borderId="2" xfId="1" applyFont="1" applyFill="1" applyBorder="1" applyAlignment="1">
      <alignment horizontal="center" wrapText="1"/>
    </xf>
    <xf numFmtId="0" fontId="3" fillId="0" borderId="8" xfId="0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4" fontId="3" fillId="0" borderId="3" xfId="0" applyNumberFormat="1" applyFont="1" applyFill="1" applyBorder="1"/>
    <xf numFmtId="164" fontId="3" fillId="0" borderId="3" xfId="1" applyNumberFormat="1" applyFont="1" applyFill="1" applyBorder="1"/>
    <xf numFmtId="3" fontId="3" fillId="0" borderId="4" xfId="0" applyNumberFormat="1" applyFont="1" applyFill="1" applyBorder="1"/>
    <xf numFmtId="0" fontId="3" fillId="0" borderId="4" xfId="0" applyFont="1" applyFill="1" applyBorder="1"/>
    <xf numFmtId="43" fontId="3" fillId="0" borderId="3" xfId="1" applyNumberFormat="1" applyFont="1" applyFill="1" applyBorder="1"/>
    <xf numFmtId="0" fontId="3" fillId="0" borderId="9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164" fontId="3" fillId="0" borderId="5" xfId="1" applyNumberFormat="1" applyFont="1" applyFill="1" applyBorder="1"/>
    <xf numFmtId="0" fontId="3" fillId="0" borderId="6" xfId="0" applyFont="1" applyFill="1" applyBorder="1"/>
    <xf numFmtId="0" fontId="3" fillId="0" borderId="0" xfId="0" applyFont="1" applyFill="1"/>
    <xf numFmtId="164" fontId="3" fillId="0" borderId="0" xfId="1" applyNumberFormat="1" applyFont="1" applyFill="1"/>
    <xf numFmtId="164" fontId="3" fillId="0" borderId="1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/>
    <xf numFmtId="43" fontId="3" fillId="0" borderId="4" xfId="1" applyFont="1" applyFill="1" applyBorder="1"/>
    <xf numFmtId="0" fontId="7" fillId="0" borderId="3" xfId="2" applyFont="1" applyBorder="1"/>
    <xf numFmtId="0" fontId="10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Fill="1"/>
    <xf numFmtId="43" fontId="11" fillId="0" borderId="0" xfId="1" applyFont="1" applyFill="1"/>
    <xf numFmtId="0" fontId="12" fillId="0" borderId="0" xfId="2" applyFont="1"/>
    <xf numFmtId="0" fontId="9" fillId="0" borderId="3" xfId="2" applyFont="1" applyFill="1" applyBorder="1" applyAlignment="1">
      <alignment horizontal="center" vertical="top"/>
    </xf>
    <xf numFmtId="0" fontId="10" fillId="0" borderId="10" xfId="2" applyFont="1" applyBorder="1"/>
    <xf numFmtId="0" fontId="11" fillId="0" borderId="3" xfId="2" applyFont="1" applyFill="1" applyBorder="1" applyAlignment="1"/>
    <xf numFmtId="0" fontId="9" fillId="0" borderId="3" xfId="2" applyFont="1" applyFill="1" applyBorder="1" applyAlignment="1">
      <alignment horizontal="center" vertical="top" wrapText="1"/>
    </xf>
    <xf numFmtId="43" fontId="9" fillId="0" borderId="3" xfId="1" applyFont="1" applyFill="1" applyBorder="1" applyAlignment="1">
      <alignment horizontal="center" vertical="top" wrapText="1"/>
    </xf>
    <xf numFmtId="0" fontId="10" fillId="0" borderId="10" xfId="2" applyFont="1" applyBorder="1" applyAlignment="1">
      <alignment horizontal="center" wrapText="1"/>
    </xf>
    <xf numFmtId="0" fontId="12" fillId="0" borderId="3" xfId="2" applyFont="1" applyBorder="1"/>
    <xf numFmtId="0" fontId="10" fillId="0" borderId="0" xfId="2" applyFont="1" applyAlignment="1">
      <alignment horizontal="center"/>
    </xf>
    <xf numFmtId="0" fontId="11" fillId="0" borderId="3" xfId="2" applyFont="1" applyBorder="1"/>
    <xf numFmtId="0" fontId="13" fillId="0" borderId="3" xfId="2" applyFont="1" applyBorder="1"/>
    <xf numFmtId="0" fontId="13" fillId="0" borderId="3" xfId="2" applyFont="1" applyFill="1" applyBorder="1"/>
    <xf numFmtId="3" fontId="11" fillId="0" borderId="3" xfId="2" applyNumberFormat="1" applyFont="1" applyFill="1" applyBorder="1" applyAlignment="1">
      <alignment horizontal="center"/>
    </xf>
    <xf numFmtId="43" fontId="11" fillId="0" borderId="3" xfId="1" applyFont="1" applyFill="1" applyBorder="1" applyAlignment="1">
      <alignment horizontal="center"/>
    </xf>
    <xf numFmtId="0" fontId="12" fillId="0" borderId="10" xfId="2" applyFont="1" applyBorder="1"/>
    <xf numFmtId="0" fontId="7" fillId="0" borderId="3" xfId="2" applyFont="1" applyBorder="1" applyAlignment="1">
      <alignment horizontal="center"/>
    </xf>
    <xf numFmtId="0" fontId="11" fillId="0" borderId="3" xfId="2" applyFont="1" applyFill="1" applyBorder="1"/>
    <xf numFmtId="0" fontId="9" fillId="0" borderId="3" xfId="2" applyFont="1" applyBorder="1"/>
    <xf numFmtId="0" fontId="9" fillId="0" borderId="3" xfId="2" applyFont="1" applyFill="1" applyBorder="1"/>
    <xf numFmtId="3" fontId="9" fillId="0" borderId="3" xfId="2" applyNumberFormat="1" applyFont="1" applyFill="1" applyBorder="1" applyAlignment="1">
      <alignment horizontal="center"/>
    </xf>
    <xf numFmtId="43" fontId="9" fillId="0" borderId="3" xfId="1" applyFont="1" applyFill="1" applyBorder="1" applyAlignment="1">
      <alignment horizontal="center"/>
    </xf>
    <xf numFmtId="3" fontId="9" fillId="0" borderId="10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center"/>
    </xf>
    <xf numFmtId="0" fontId="11" fillId="3" borderId="3" xfId="2" applyFont="1" applyFill="1" applyBorder="1"/>
    <xf numFmtId="0" fontId="9" fillId="3" borderId="3" xfId="2" applyFont="1" applyFill="1" applyBorder="1"/>
    <xf numFmtId="2" fontId="9" fillId="3" borderId="3" xfId="2" applyNumberFormat="1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3" fontId="9" fillId="3" borderId="10" xfId="2" applyNumberFormat="1" applyFont="1" applyFill="1" applyBorder="1" applyAlignment="1">
      <alignment horizontal="center"/>
    </xf>
    <xf numFmtId="3" fontId="11" fillId="4" borderId="3" xfId="2" applyNumberFormat="1" applyFont="1" applyFill="1" applyBorder="1" applyAlignment="1">
      <alignment horizontal="center"/>
    </xf>
    <xf numFmtId="43" fontId="11" fillId="4" borderId="3" xfId="1" applyFont="1" applyFill="1" applyBorder="1" applyAlignment="1">
      <alignment horizontal="center"/>
    </xf>
    <xf numFmtId="43" fontId="14" fillId="4" borderId="3" xfId="1" applyFont="1" applyFill="1" applyBorder="1" applyAlignment="1">
      <alignment horizontal="center"/>
    </xf>
    <xf numFmtId="0" fontId="14" fillId="0" borderId="3" xfId="2" applyFont="1" applyFill="1" applyBorder="1"/>
    <xf numFmtId="43" fontId="7" fillId="4" borderId="3" xfId="1" applyFont="1" applyFill="1" applyBorder="1" applyAlignment="1">
      <alignment horizontal="center"/>
    </xf>
    <xf numFmtId="3" fontId="9" fillId="3" borderId="3" xfId="2" applyNumberFormat="1" applyFont="1" applyFill="1" applyBorder="1" applyAlignment="1">
      <alignment horizontal="center"/>
    </xf>
    <xf numFmtId="0" fontId="9" fillId="4" borderId="3" xfId="2" applyFont="1" applyFill="1" applyBorder="1"/>
    <xf numFmtId="0" fontId="14" fillId="4" borderId="3" xfId="2" applyFont="1" applyFill="1" applyBorder="1"/>
    <xf numFmtId="3" fontId="14" fillId="4" borderId="3" xfId="2" applyNumberFormat="1" applyFont="1" applyFill="1" applyBorder="1" applyAlignment="1">
      <alignment horizontal="center"/>
    </xf>
    <xf numFmtId="0" fontId="15" fillId="0" borderId="10" xfId="2" applyFont="1" applyBorder="1"/>
    <xf numFmtId="43" fontId="10" fillId="0" borderId="0" xfId="2" applyNumberFormat="1" applyFont="1"/>
    <xf numFmtId="43" fontId="10" fillId="3" borderId="3" xfId="1" applyFont="1" applyFill="1" applyBorder="1" applyAlignment="1">
      <alignment horizontal="center"/>
    </xf>
    <xf numFmtId="0" fontId="12" fillId="0" borderId="0" xfId="2" applyFont="1" applyFill="1"/>
    <xf numFmtId="43" fontId="12" fillId="0" borderId="0" xfId="1" applyFont="1" applyFill="1"/>
    <xf numFmtId="0" fontId="7" fillId="0" borderId="0" xfId="2" applyFont="1" applyAlignment="1">
      <alignment horizontal="center"/>
    </xf>
    <xf numFmtId="43" fontId="14" fillId="0" borderId="3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43" fontId="11" fillId="0" borderId="0" xfId="1" applyFont="1" applyFill="1" applyAlignment="1">
      <alignment horizontal="center"/>
    </xf>
    <xf numFmtId="43" fontId="9" fillId="0" borderId="0" xfId="1" applyFont="1" applyFill="1" applyAlignment="1">
      <alignment horizontal="center"/>
    </xf>
    <xf numFmtId="165" fontId="3" fillId="0" borderId="3" xfId="1" applyNumberFormat="1" applyFont="1" applyFill="1" applyBorder="1"/>
    <xf numFmtId="0" fontId="3" fillId="0" borderId="17" xfId="0" applyFont="1" applyFill="1" applyBorder="1"/>
    <xf numFmtId="0" fontId="3" fillId="0" borderId="16" xfId="0" applyFont="1" applyFill="1" applyBorder="1"/>
    <xf numFmtId="0" fontId="3" fillId="0" borderId="18" xfId="0" applyFont="1" applyFill="1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9" fillId="0" borderId="10" xfId="2" applyFont="1" applyFill="1" applyBorder="1" applyAlignment="1">
      <alignment horizontal="center"/>
    </xf>
    <xf numFmtId="0" fontId="9" fillId="0" borderId="16" xfId="2" applyFont="1" applyFill="1" applyBorder="1" applyAlignment="1">
      <alignment horizontal="center"/>
    </xf>
    <xf numFmtId="0" fontId="8" fillId="0" borderId="11" xfId="2" applyFont="1" applyFill="1" applyBorder="1" applyAlignment="1"/>
    <xf numFmtId="0" fontId="8" fillId="0" borderId="12" xfId="2" applyFont="1" applyFill="1" applyBorder="1" applyAlignment="1"/>
    <xf numFmtId="0" fontId="8" fillId="0" borderId="13" xfId="2" applyFont="1" applyFill="1" applyBorder="1" applyAlignment="1"/>
    <xf numFmtId="0" fontId="9" fillId="0" borderId="3" xfId="2" applyFont="1" applyBorder="1" applyAlignment="1">
      <alignment horizontal="center" vertical="top"/>
    </xf>
    <xf numFmtId="0" fontId="11" fillId="0" borderId="3" xfId="2" applyFont="1" applyBorder="1" applyAlignment="1"/>
    <xf numFmtId="0" fontId="9" fillId="0" borderId="14" xfId="2" applyFont="1" applyBorder="1" applyAlignment="1">
      <alignment horizontal="center" vertical="top"/>
    </xf>
    <xf numFmtId="0" fontId="11" fillId="0" borderId="15" xfId="2" applyFont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di/Desktop/&#1490;&#1493;&#1504;&#1497;/&#1514;&#1511;&#1510;&#1497;&#1489;%20&#1497;&#1488;&#1504;&#1493;&#1495;%202018%20&#1505;&#1493;&#1508;&#1497;/&#1514;&#1511;&#1510;&#1497;&#1489;%20&#1496;&#1512;&#1493;&#1501;%20&#1505;&#1493;&#1508;&#1497;/&#1492;&#1510;&#1506;&#1514;%20&#1514;&#1511;&#1510;&#1497;&#1489;%202018%20&#1496;&#1497;&#1493;&#1496;&#1492;%202%20&#1500;&#1488;&#1495;&#1512;%20&#1491;&#1497;&#1493;&#1503;%2020-12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 "/>
      <sheetName val="הכנסות"/>
      <sheetName val="הוצאות"/>
      <sheetName val="פירוט"/>
      <sheetName val="ארנונה והנחות"/>
      <sheetName val="שכר"/>
      <sheetName val="רווחה הכנס-הוצ"/>
      <sheetName val="חינוך הכנס-הוצ"/>
      <sheetName val="כללי הכנס-הוצ"/>
    </sheetNames>
    <sheetDataSet>
      <sheetData sheetId="0" refreshError="1"/>
      <sheetData sheetId="1" refreshError="1"/>
      <sheetData sheetId="2" refreshError="1">
        <row r="187">
          <cell r="H187">
            <v>209000</v>
          </cell>
        </row>
        <row r="188">
          <cell r="H188">
            <v>303657</v>
          </cell>
        </row>
      </sheetData>
      <sheetData sheetId="3" refreshError="1"/>
      <sheetData sheetId="4" refreshError="1"/>
      <sheetData sheetId="5" refreshError="1">
        <row r="2">
          <cell r="G2">
            <v>135495.31</v>
          </cell>
          <cell r="J2">
            <v>139000</v>
          </cell>
          <cell r="K2">
            <v>100</v>
          </cell>
        </row>
        <row r="3">
          <cell r="G3">
            <v>668457.65</v>
          </cell>
          <cell r="J3">
            <v>685000</v>
          </cell>
          <cell r="K3">
            <v>100</v>
          </cell>
        </row>
        <row r="4">
          <cell r="G4">
            <v>0</v>
          </cell>
          <cell r="J4">
            <v>130000</v>
          </cell>
          <cell r="K4">
            <v>50</v>
          </cell>
        </row>
        <row r="5">
          <cell r="G5">
            <v>536585</v>
          </cell>
          <cell r="J5">
            <v>550000</v>
          </cell>
          <cell r="K5">
            <v>300</v>
          </cell>
        </row>
        <row r="7">
          <cell r="G7">
            <v>384071.59</v>
          </cell>
          <cell r="J7">
            <v>415000</v>
          </cell>
          <cell r="K7">
            <v>200</v>
          </cell>
        </row>
        <row r="8">
          <cell r="G8">
            <v>306497.07</v>
          </cell>
          <cell r="J8">
            <v>349000</v>
          </cell>
          <cell r="K8">
            <v>200</v>
          </cell>
        </row>
        <row r="9">
          <cell r="G9">
            <v>115390.47</v>
          </cell>
          <cell r="J9">
            <v>402000</v>
          </cell>
          <cell r="K9">
            <v>150</v>
          </cell>
        </row>
        <row r="10">
          <cell r="G10">
            <v>182158.04</v>
          </cell>
          <cell r="J10">
            <v>187000</v>
          </cell>
          <cell r="K10">
            <v>100</v>
          </cell>
        </row>
        <row r="11">
          <cell r="G11">
            <v>307420.42000000004</v>
          </cell>
          <cell r="J11">
            <v>315000</v>
          </cell>
          <cell r="K11">
            <v>200</v>
          </cell>
        </row>
        <row r="12">
          <cell r="G12">
            <v>468731.85</v>
          </cell>
          <cell r="J12">
            <v>497000</v>
          </cell>
          <cell r="K12">
            <v>350</v>
          </cell>
        </row>
        <row r="13">
          <cell r="G13">
            <v>83960.01</v>
          </cell>
          <cell r="J13">
            <v>86000</v>
          </cell>
          <cell r="K13">
            <v>50</v>
          </cell>
        </row>
        <row r="14">
          <cell r="G14">
            <v>89469</v>
          </cell>
          <cell r="J14">
            <v>92000</v>
          </cell>
          <cell r="K14">
            <v>20</v>
          </cell>
        </row>
        <row r="15">
          <cell r="G15">
            <v>269460.39</v>
          </cell>
          <cell r="J15">
            <v>276000</v>
          </cell>
          <cell r="K15">
            <v>80</v>
          </cell>
        </row>
        <row r="16">
          <cell r="G16">
            <v>742444.4</v>
          </cell>
          <cell r="J16">
            <v>761000</v>
          </cell>
          <cell r="K16">
            <v>250</v>
          </cell>
        </row>
        <row r="19">
          <cell r="J19">
            <v>428000</v>
          </cell>
          <cell r="K19">
            <v>300</v>
          </cell>
        </row>
        <row r="20">
          <cell r="G20">
            <v>20675.97</v>
          </cell>
          <cell r="J20">
            <v>0</v>
          </cell>
          <cell r="K20">
            <v>0</v>
          </cell>
        </row>
        <row r="21">
          <cell r="G21">
            <v>386885.31</v>
          </cell>
          <cell r="J21">
            <v>460000</v>
          </cell>
          <cell r="K21">
            <v>175</v>
          </cell>
        </row>
        <row r="22">
          <cell r="G22">
            <v>692267</v>
          </cell>
          <cell r="J22">
            <v>710000</v>
          </cell>
          <cell r="K22">
            <v>500</v>
          </cell>
        </row>
        <row r="23">
          <cell r="G23">
            <v>1046070</v>
          </cell>
          <cell r="J23">
            <v>965000</v>
          </cell>
          <cell r="K23">
            <v>800</v>
          </cell>
        </row>
        <row r="24">
          <cell r="G24">
            <v>95908.85</v>
          </cell>
          <cell r="J24">
            <v>167000</v>
          </cell>
          <cell r="K24">
            <v>100</v>
          </cell>
        </row>
        <row r="25">
          <cell r="G25">
            <v>1391794</v>
          </cell>
          <cell r="J25">
            <v>1426000</v>
          </cell>
          <cell r="K25">
            <v>1120</v>
          </cell>
        </row>
        <row r="26">
          <cell r="G26">
            <v>18536.03</v>
          </cell>
          <cell r="J26">
            <v>15000</v>
          </cell>
          <cell r="K26">
            <v>0</v>
          </cell>
        </row>
        <row r="27">
          <cell r="G27">
            <v>962114.54</v>
          </cell>
          <cell r="J27">
            <v>1130000</v>
          </cell>
          <cell r="K27">
            <v>1000</v>
          </cell>
        </row>
        <row r="28">
          <cell r="G28">
            <v>22861.200000000001</v>
          </cell>
          <cell r="J28">
            <v>47000</v>
          </cell>
          <cell r="K28">
            <v>0</v>
          </cell>
        </row>
        <row r="29">
          <cell r="G29">
            <v>7667804</v>
          </cell>
          <cell r="J29">
            <v>7839000</v>
          </cell>
          <cell r="K29">
            <v>3451</v>
          </cell>
        </row>
        <row r="30">
          <cell r="G30">
            <v>105584.56</v>
          </cell>
        </row>
        <row r="31">
          <cell r="G31">
            <v>2024</v>
          </cell>
        </row>
        <row r="32">
          <cell r="G32">
            <v>910975</v>
          </cell>
          <cell r="J32">
            <v>944000</v>
          </cell>
          <cell r="K32">
            <v>806</v>
          </cell>
        </row>
        <row r="33">
          <cell r="G33">
            <v>487723</v>
          </cell>
          <cell r="J33">
            <v>500000</v>
          </cell>
          <cell r="K33">
            <v>250</v>
          </cell>
        </row>
        <row r="34">
          <cell r="G34">
            <v>832192.84</v>
          </cell>
          <cell r="J34">
            <v>910000</v>
          </cell>
          <cell r="K34">
            <v>717</v>
          </cell>
        </row>
        <row r="35">
          <cell r="G35">
            <v>210862.41</v>
          </cell>
          <cell r="J35">
            <v>216000</v>
          </cell>
          <cell r="K35">
            <v>100</v>
          </cell>
        </row>
        <row r="36">
          <cell r="G36">
            <v>12258.67</v>
          </cell>
          <cell r="J36">
            <v>20000</v>
          </cell>
        </row>
        <row r="37">
          <cell r="G37">
            <v>386865.19</v>
          </cell>
          <cell r="J37">
            <v>320000</v>
          </cell>
          <cell r="K37">
            <v>290</v>
          </cell>
        </row>
        <row r="38">
          <cell r="G38">
            <v>156063</v>
          </cell>
          <cell r="J38">
            <v>160000</v>
          </cell>
          <cell r="K38">
            <v>100</v>
          </cell>
        </row>
        <row r="39">
          <cell r="G39">
            <v>154262.88</v>
          </cell>
          <cell r="J39">
            <v>110000</v>
          </cell>
          <cell r="K39">
            <v>100</v>
          </cell>
        </row>
        <row r="41">
          <cell r="G41">
            <v>150759.97999999998</v>
          </cell>
          <cell r="J41">
            <v>130000</v>
          </cell>
          <cell r="K41">
            <v>50</v>
          </cell>
        </row>
        <row r="42">
          <cell r="G42">
            <v>207091</v>
          </cell>
          <cell r="J42">
            <v>213000</v>
          </cell>
          <cell r="K42">
            <v>140</v>
          </cell>
        </row>
        <row r="43">
          <cell r="G43">
            <v>22620.94</v>
          </cell>
          <cell r="J43">
            <v>0</v>
          </cell>
          <cell r="K43">
            <v>0</v>
          </cell>
        </row>
        <row r="44">
          <cell r="G44">
            <v>918369.4</v>
          </cell>
          <cell r="J44">
            <v>992000</v>
          </cell>
          <cell r="K44">
            <v>522</v>
          </cell>
        </row>
        <row r="45">
          <cell r="G45">
            <v>10370.83</v>
          </cell>
          <cell r="J45">
            <v>209000</v>
          </cell>
          <cell r="K45">
            <v>175</v>
          </cell>
        </row>
        <row r="46">
          <cell r="G46">
            <v>71182.010000000009</v>
          </cell>
          <cell r="J46">
            <v>73000</v>
          </cell>
          <cell r="K46">
            <v>50</v>
          </cell>
        </row>
        <row r="47">
          <cell r="G47">
            <v>106923</v>
          </cell>
          <cell r="J47">
            <v>110000</v>
          </cell>
          <cell r="K47">
            <v>100</v>
          </cell>
        </row>
        <row r="48">
          <cell r="G48">
            <v>68090</v>
          </cell>
          <cell r="J48">
            <v>70000</v>
          </cell>
          <cell r="K48">
            <v>50</v>
          </cell>
        </row>
        <row r="49">
          <cell r="G49">
            <v>3086585.33</v>
          </cell>
          <cell r="J49">
            <v>2958000</v>
          </cell>
          <cell r="K49">
            <v>1596</v>
          </cell>
        </row>
      </sheetData>
      <sheetData sheetId="6" refreshError="1">
        <row r="2">
          <cell r="H2">
            <v>-686000</v>
          </cell>
        </row>
        <row r="3">
          <cell r="H3">
            <v>-7728.03</v>
          </cell>
        </row>
        <row r="4">
          <cell r="H4">
            <v>-57562.58</v>
          </cell>
        </row>
        <row r="6">
          <cell r="H6">
            <v>-60000</v>
          </cell>
        </row>
        <row r="7">
          <cell r="H7">
            <v>-21000</v>
          </cell>
        </row>
        <row r="8">
          <cell r="H8">
            <v>-5952.75</v>
          </cell>
        </row>
        <row r="9">
          <cell r="H9">
            <v>-1500</v>
          </cell>
          <cell r="P9">
            <v>303657</v>
          </cell>
        </row>
        <row r="10">
          <cell r="H10">
            <v>-391500</v>
          </cell>
          <cell r="P10">
            <v>80000</v>
          </cell>
        </row>
        <row r="11">
          <cell r="H11">
            <v>-56000</v>
          </cell>
          <cell r="P11">
            <v>28000</v>
          </cell>
        </row>
        <row r="12">
          <cell r="H12">
            <v>-300000</v>
          </cell>
          <cell r="P12">
            <v>2000</v>
          </cell>
        </row>
        <row r="13">
          <cell r="H13">
            <v>-6000</v>
          </cell>
        </row>
        <row r="14">
          <cell r="H14">
            <v>-360000</v>
          </cell>
          <cell r="P14">
            <v>86000</v>
          </cell>
        </row>
        <row r="15">
          <cell r="H15">
            <v>-10500</v>
          </cell>
          <cell r="P15">
            <v>522000</v>
          </cell>
        </row>
        <row r="16">
          <cell r="H16">
            <v>-372750</v>
          </cell>
          <cell r="P16">
            <v>15000</v>
          </cell>
        </row>
        <row r="17">
          <cell r="H17">
            <v>-637500</v>
          </cell>
          <cell r="P17">
            <v>45000</v>
          </cell>
        </row>
        <row r="18">
          <cell r="H18">
            <v>-6750</v>
          </cell>
          <cell r="P18">
            <v>300000</v>
          </cell>
        </row>
        <row r="19">
          <cell r="H19">
            <v>-287250</v>
          </cell>
          <cell r="P19">
            <v>8000</v>
          </cell>
        </row>
        <row r="20">
          <cell r="H20">
            <v>-63000</v>
          </cell>
          <cell r="P20">
            <v>480000</v>
          </cell>
        </row>
        <row r="21">
          <cell r="H21">
            <v>-420750</v>
          </cell>
        </row>
        <row r="22">
          <cell r="H22">
            <v>-2494.5</v>
          </cell>
          <cell r="P22">
            <v>14000</v>
          </cell>
        </row>
        <row r="23">
          <cell r="H23">
            <v>-93991.5</v>
          </cell>
          <cell r="P23">
            <v>0</v>
          </cell>
        </row>
        <row r="24">
          <cell r="H24">
            <v>-32765.25</v>
          </cell>
          <cell r="P24">
            <v>2000</v>
          </cell>
        </row>
        <row r="25">
          <cell r="H25">
            <v>-121500</v>
          </cell>
          <cell r="P25">
            <v>10000</v>
          </cell>
        </row>
        <row r="26">
          <cell r="H26">
            <v>-49242</v>
          </cell>
          <cell r="P26">
            <v>485000</v>
          </cell>
        </row>
        <row r="27">
          <cell r="H27">
            <v>-3750</v>
          </cell>
          <cell r="P27">
            <v>850000</v>
          </cell>
        </row>
        <row r="28">
          <cell r="H28">
            <v>-77061.086599999995</v>
          </cell>
          <cell r="P28">
            <v>383000</v>
          </cell>
        </row>
        <row r="29">
          <cell r="H29">
            <v>-163800</v>
          </cell>
          <cell r="P29">
            <v>84000</v>
          </cell>
        </row>
        <row r="30">
          <cell r="H30">
            <v>-248500</v>
          </cell>
          <cell r="P30">
            <v>9000</v>
          </cell>
        </row>
        <row r="31">
          <cell r="P31">
            <v>561000</v>
          </cell>
        </row>
        <row r="32">
          <cell r="P32">
            <v>3326</v>
          </cell>
        </row>
        <row r="33">
          <cell r="P33">
            <v>125322</v>
          </cell>
        </row>
        <row r="34">
          <cell r="P34">
            <v>43687</v>
          </cell>
        </row>
        <row r="35">
          <cell r="P35">
            <v>87000</v>
          </cell>
        </row>
        <row r="36">
          <cell r="P36">
            <v>75000</v>
          </cell>
        </row>
        <row r="37">
          <cell r="P37">
            <v>5000</v>
          </cell>
        </row>
        <row r="38">
          <cell r="P38">
            <v>65656</v>
          </cell>
        </row>
        <row r="39">
          <cell r="P39">
            <v>7937</v>
          </cell>
        </row>
        <row r="40">
          <cell r="P40">
            <v>182000</v>
          </cell>
        </row>
        <row r="41">
          <cell r="P41">
            <v>248500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rightToLeft="1" zoomScaleNormal="100" workbookViewId="0">
      <pane ySplit="1" topLeftCell="A83" activePane="bottomLeft" state="frozen"/>
      <selection pane="bottomLeft" activeCell="F103" sqref="F103:F104"/>
    </sheetView>
  </sheetViews>
  <sheetFormatPr defaultRowHeight="14.25"/>
  <cols>
    <col min="1" max="1" width="11.375" bestFit="1" customWidth="1"/>
    <col min="2" max="2" width="28.125" bestFit="1" customWidth="1"/>
    <col min="3" max="3" width="17.5" bestFit="1" customWidth="1"/>
    <col min="4" max="4" width="14.125" hidden="1" customWidth="1"/>
    <col min="5" max="6" width="14.125" bestFit="1" customWidth="1"/>
    <col min="251" max="251" width="7" customWidth="1"/>
    <col min="252" max="252" width="6.75" customWidth="1"/>
    <col min="253" max="253" width="11.375" bestFit="1" customWidth="1"/>
    <col min="254" max="254" width="28.125" bestFit="1" customWidth="1"/>
    <col min="255" max="255" width="17.5" bestFit="1" customWidth="1"/>
    <col min="256" max="256" width="14.125" customWidth="1"/>
    <col min="257" max="258" width="14.125" bestFit="1" customWidth="1"/>
    <col min="259" max="259" width="14.125" customWidth="1"/>
    <col min="260" max="260" width="10.75" bestFit="1" customWidth="1"/>
    <col min="261" max="261" width="13" customWidth="1"/>
    <col min="262" max="262" width="52.125" customWidth="1"/>
    <col min="507" max="507" width="7" customWidth="1"/>
    <col min="508" max="508" width="6.75" customWidth="1"/>
    <col min="509" max="509" width="11.375" bestFit="1" customWidth="1"/>
    <col min="510" max="510" width="28.125" bestFit="1" customWidth="1"/>
    <col min="511" max="511" width="17.5" bestFit="1" customWidth="1"/>
    <col min="512" max="512" width="14.125" customWidth="1"/>
    <col min="513" max="514" width="14.125" bestFit="1" customWidth="1"/>
    <col min="515" max="515" width="14.125" customWidth="1"/>
    <col min="516" max="516" width="10.75" bestFit="1" customWidth="1"/>
    <col min="517" max="517" width="13" customWidth="1"/>
    <col min="518" max="518" width="52.125" customWidth="1"/>
    <col min="763" max="763" width="7" customWidth="1"/>
    <col min="764" max="764" width="6.75" customWidth="1"/>
    <col min="765" max="765" width="11.375" bestFit="1" customWidth="1"/>
    <col min="766" max="766" width="28.125" bestFit="1" customWidth="1"/>
    <col min="767" max="767" width="17.5" bestFit="1" customWidth="1"/>
    <col min="768" max="768" width="14.125" customWidth="1"/>
    <col min="769" max="770" width="14.125" bestFit="1" customWidth="1"/>
    <col min="771" max="771" width="14.125" customWidth="1"/>
    <col min="772" max="772" width="10.75" bestFit="1" customWidth="1"/>
    <col min="773" max="773" width="13" customWidth="1"/>
    <col min="774" max="774" width="52.125" customWidth="1"/>
    <col min="1019" max="1019" width="7" customWidth="1"/>
    <col min="1020" max="1020" width="6.75" customWidth="1"/>
    <col min="1021" max="1021" width="11.375" bestFit="1" customWidth="1"/>
    <col min="1022" max="1022" width="28.125" bestFit="1" customWidth="1"/>
    <col min="1023" max="1023" width="17.5" bestFit="1" customWidth="1"/>
    <col min="1024" max="1024" width="14.125" customWidth="1"/>
    <col min="1025" max="1026" width="14.125" bestFit="1" customWidth="1"/>
    <col min="1027" max="1027" width="14.125" customWidth="1"/>
    <col min="1028" max="1028" width="10.75" bestFit="1" customWidth="1"/>
    <col min="1029" max="1029" width="13" customWidth="1"/>
    <col min="1030" max="1030" width="52.125" customWidth="1"/>
    <col min="1275" max="1275" width="7" customWidth="1"/>
    <col min="1276" max="1276" width="6.75" customWidth="1"/>
    <col min="1277" max="1277" width="11.375" bestFit="1" customWidth="1"/>
    <col min="1278" max="1278" width="28.125" bestFit="1" customWidth="1"/>
    <col min="1279" max="1279" width="17.5" bestFit="1" customWidth="1"/>
    <col min="1280" max="1280" width="14.125" customWidth="1"/>
    <col min="1281" max="1282" width="14.125" bestFit="1" customWidth="1"/>
    <col min="1283" max="1283" width="14.125" customWidth="1"/>
    <col min="1284" max="1284" width="10.75" bestFit="1" customWidth="1"/>
    <col min="1285" max="1285" width="13" customWidth="1"/>
    <col min="1286" max="1286" width="52.125" customWidth="1"/>
    <col min="1531" max="1531" width="7" customWidth="1"/>
    <col min="1532" max="1532" width="6.75" customWidth="1"/>
    <col min="1533" max="1533" width="11.375" bestFit="1" customWidth="1"/>
    <col min="1534" max="1534" width="28.125" bestFit="1" customWidth="1"/>
    <col min="1535" max="1535" width="17.5" bestFit="1" customWidth="1"/>
    <col min="1536" max="1536" width="14.125" customWidth="1"/>
    <col min="1537" max="1538" width="14.125" bestFit="1" customWidth="1"/>
    <col min="1539" max="1539" width="14.125" customWidth="1"/>
    <col min="1540" max="1540" width="10.75" bestFit="1" customWidth="1"/>
    <col min="1541" max="1541" width="13" customWidth="1"/>
    <col min="1542" max="1542" width="52.125" customWidth="1"/>
    <col min="1787" max="1787" width="7" customWidth="1"/>
    <col min="1788" max="1788" width="6.75" customWidth="1"/>
    <col min="1789" max="1789" width="11.375" bestFit="1" customWidth="1"/>
    <col min="1790" max="1790" width="28.125" bestFit="1" customWidth="1"/>
    <col min="1791" max="1791" width="17.5" bestFit="1" customWidth="1"/>
    <col min="1792" max="1792" width="14.125" customWidth="1"/>
    <col min="1793" max="1794" width="14.125" bestFit="1" customWidth="1"/>
    <col min="1795" max="1795" width="14.125" customWidth="1"/>
    <col min="1796" max="1796" width="10.75" bestFit="1" customWidth="1"/>
    <col min="1797" max="1797" width="13" customWidth="1"/>
    <col min="1798" max="1798" width="52.125" customWidth="1"/>
    <col min="2043" max="2043" width="7" customWidth="1"/>
    <col min="2044" max="2044" width="6.75" customWidth="1"/>
    <col min="2045" max="2045" width="11.375" bestFit="1" customWidth="1"/>
    <col min="2046" max="2046" width="28.125" bestFit="1" customWidth="1"/>
    <col min="2047" max="2047" width="17.5" bestFit="1" customWidth="1"/>
    <col min="2048" max="2048" width="14.125" customWidth="1"/>
    <col min="2049" max="2050" width="14.125" bestFit="1" customWidth="1"/>
    <col min="2051" max="2051" width="14.125" customWidth="1"/>
    <col min="2052" max="2052" width="10.75" bestFit="1" customWidth="1"/>
    <col min="2053" max="2053" width="13" customWidth="1"/>
    <col min="2054" max="2054" width="52.125" customWidth="1"/>
    <col min="2299" max="2299" width="7" customWidth="1"/>
    <col min="2300" max="2300" width="6.75" customWidth="1"/>
    <col min="2301" max="2301" width="11.375" bestFit="1" customWidth="1"/>
    <col min="2302" max="2302" width="28.125" bestFit="1" customWidth="1"/>
    <col min="2303" max="2303" width="17.5" bestFit="1" customWidth="1"/>
    <col min="2304" max="2304" width="14.125" customWidth="1"/>
    <col min="2305" max="2306" width="14.125" bestFit="1" customWidth="1"/>
    <col min="2307" max="2307" width="14.125" customWidth="1"/>
    <col min="2308" max="2308" width="10.75" bestFit="1" customWidth="1"/>
    <col min="2309" max="2309" width="13" customWidth="1"/>
    <col min="2310" max="2310" width="52.125" customWidth="1"/>
    <col min="2555" max="2555" width="7" customWidth="1"/>
    <col min="2556" max="2556" width="6.75" customWidth="1"/>
    <col min="2557" max="2557" width="11.375" bestFit="1" customWidth="1"/>
    <col min="2558" max="2558" width="28.125" bestFit="1" customWidth="1"/>
    <col min="2559" max="2559" width="17.5" bestFit="1" customWidth="1"/>
    <col min="2560" max="2560" width="14.125" customWidth="1"/>
    <col min="2561" max="2562" width="14.125" bestFit="1" customWidth="1"/>
    <col min="2563" max="2563" width="14.125" customWidth="1"/>
    <col min="2564" max="2564" width="10.75" bestFit="1" customWidth="1"/>
    <col min="2565" max="2565" width="13" customWidth="1"/>
    <col min="2566" max="2566" width="52.125" customWidth="1"/>
    <col min="2811" max="2811" width="7" customWidth="1"/>
    <col min="2812" max="2812" width="6.75" customWidth="1"/>
    <col min="2813" max="2813" width="11.375" bestFit="1" customWidth="1"/>
    <col min="2814" max="2814" width="28.125" bestFit="1" customWidth="1"/>
    <col min="2815" max="2815" width="17.5" bestFit="1" customWidth="1"/>
    <col min="2816" max="2816" width="14.125" customWidth="1"/>
    <col min="2817" max="2818" width="14.125" bestFit="1" customWidth="1"/>
    <col min="2819" max="2819" width="14.125" customWidth="1"/>
    <col min="2820" max="2820" width="10.75" bestFit="1" customWidth="1"/>
    <col min="2821" max="2821" width="13" customWidth="1"/>
    <col min="2822" max="2822" width="52.125" customWidth="1"/>
    <col min="3067" max="3067" width="7" customWidth="1"/>
    <col min="3068" max="3068" width="6.75" customWidth="1"/>
    <col min="3069" max="3069" width="11.375" bestFit="1" customWidth="1"/>
    <col min="3070" max="3070" width="28.125" bestFit="1" customWidth="1"/>
    <col min="3071" max="3071" width="17.5" bestFit="1" customWidth="1"/>
    <col min="3072" max="3072" width="14.125" customWidth="1"/>
    <col min="3073" max="3074" width="14.125" bestFit="1" customWidth="1"/>
    <col min="3075" max="3075" width="14.125" customWidth="1"/>
    <col min="3076" max="3076" width="10.75" bestFit="1" customWidth="1"/>
    <col min="3077" max="3077" width="13" customWidth="1"/>
    <col min="3078" max="3078" width="52.125" customWidth="1"/>
    <col min="3323" max="3323" width="7" customWidth="1"/>
    <col min="3324" max="3324" width="6.75" customWidth="1"/>
    <col min="3325" max="3325" width="11.375" bestFit="1" customWidth="1"/>
    <col min="3326" max="3326" width="28.125" bestFit="1" customWidth="1"/>
    <col min="3327" max="3327" width="17.5" bestFit="1" customWidth="1"/>
    <col min="3328" max="3328" width="14.125" customWidth="1"/>
    <col min="3329" max="3330" width="14.125" bestFit="1" customWidth="1"/>
    <col min="3331" max="3331" width="14.125" customWidth="1"/>
    <col min="3332" max="3332" width="10.75" bestFit="1" customWidth="1"/>
    <col min="3333" max="3333" width="13" customWidth="1"/>
    <col min="3334" max="3334" width="52.125" customWidth="1"/>
    <col min="3579" max="3579" width="7" customWidth="1"/>
    <col min="3580" max="3580" width="6.75" customWidth="1"/>
    <col min="3581" max="3581" width="11.375" bestFit="1" customWidth="1"/>
    <col min="3582" max="3582" width="28.125" bestFit="1" customWidth="1"/>
    <col min="3583" max="3583" width="17.5" bestFit="1" customWidth="1"/>
    <col min="3584" max="3584" width="14.125" customWidth="1"/>
    <col min="3585" max="3586" width="14.125" bestFit="1" customWidth="1"/>
    <col min="3587" max="3587" width="14.125" customWidth="1"/>
    <col min="3588" max="3588" width="10.75" bestFit="1" customWidth="1"/>
    <col min="3589" max="3589" width="13" customWidth="1"/>
    <col min="3590" max="3590" width="52.125" customWidth="1"/>
    <col min="3835" max="3835" width="7" customWidth="1"/>
    <col min="3836" max="3836" width="6.75" customWidth="1"/>
    <col min="3837" max="3837" width="11.375" bestFit="1" customWidth="1"/>
    <col min="3838" max="3838" width="28.125" bestFit="1" customWidth="1"/>
    <col min="3839" max="3839" width="17.5" bestFit="1" customWidth="1"/>
    <col min="3840" max="3840" width="14.125" customWidth="1"/>
    <col min="3841" max="3842" width="14.125" bestFit="1" customWidth="1"/>
    <col min="3843" max="3843" width="14.125" customWidth="1"/>
    <col min="3844" max="3844" width="10.75" bestFit="1" customWidth="1"/>
    <col min="3845" max="3845" width="13" customWidth="1"/>
    <col min="3846" max="3846" width="52.125" customWidth="1"/>
    <col min="4091" max="4091" width="7" customWidth="1"/>
    <col min="4092" max="4092" width="6.75" customWidth="1"/>
    <col min="4093" max="4093" width="11.375" bestFit="1" customWidth="1"/>
    <col min="4094" max="4094" width="28.125" bestFit="1" customWidth="1"/>
    <col min="4095" max="4095" width="17.5" bestFit="1" customWidth="1"/>
    <col min="4096" max="4096" width="14.125" customWidth="1"/>
    <col min="4097" max="4098" width="14.125" bestFit="1" customWidth="1"/>
    <col min="4099" max="4099" width="14.125" customWidth="1"/>
    <col min="4100" max="4100" width="10.75" bestFit="1" customWidth="1"/>
    <col min="4101" max="4101" width="13" customWidth="1"/>
    <col min="4102" max="4102" width="52.125" customWidth="1"/>
    <col min="4347" max="4347" width="7" customWidth="1"/>
    <col min="4348" max="4348" width="6.75" customWidth="1"/>
    <col min="4349" max="4349" width="11.375" bestFit="1" customWidth="1"/>
    <col min="4350" max="4350" width="28.125" bestFit="1" customWidth="1"/>
    <col min="4351" max="4351" width="17.5" bestFit="1" customWidth="1"/>
    <col min="4352" max="4352" width="14.125" customWidth="1"/>
    <col min="4353" max="4354" width="14.125" bestFit="1" customWidth="1"/>
    <col min="4355" max="4355" width="14.125" customWidth="1"/>
    <col min="4356" max="4356" width="10.75" bestFit="1" customWidth="1"/>
    <col min="4357" max="4357" width="13" customWidth="1"/>
    <col min="4358" max="4358" width="52.125" customWidth="1"/>
    <col min="4603" max="4603" width="7" customWidth="1"/>
    <col min="4604" max="4604" width="6.75" customWidth="1"/>
    <col min="4605" max="4605" width="11.375" bestFit="1" customWidth="1"/>
    <col min="4606" max="4606" width="28.125" bestFit="1" customWidth="1"/>
    <col min="4607" max="4607" width="17.5" bestFit="1" customWidth="1"/>
    <col min="4608" max="4608" width="14.125" customWidth="1"/>
    <col min="4609" max="4610" width="14.125" bestFit="1" customWidth="1"/>
    <col min="4611" max="4611" width="14.125" customWidth="1"/>
    <col min="4612" max="4612" width="10.75" bestFit="1" customWidth="1"/>
    <col min="4613" max="4613" width="13" customWidth="1"/>
    <col min="4614" max="4614" width="52.125" customWidth="1"/>
    <col min="4859" max="4859" width="7" customWidth="1"/>
    <col min="4860" max="4860" width="6.75" customWidth="1"/>
    <col min="4861" max="4861" width="11.375" bestFit="1" customWidth="1"/>
    <col min="4862" max="4862" width="28.125" bestFit="1" customWidth="1"/>
    <col min="4863" max="4863" width="17.5" bestFit="1" customWidth="1"/>
    <col min="4864" max="4864" width="14.125" customWidth="1"/>
    <col min="4865" max="4866" width="14.125" bestFit="1" customWidth="1"/>
    <col min="4867" max="4867" width="14.125" customWidth="1"/>
    <col min="4868" max="4868" width="10.75" bestFit="1" customWidth="1"/>
    <col min="4869" max="4869" width="13" customWidth="1"/>
    <col min="4870" max="4870" width="52.125" customWidth="1"/>
    <col min="5115" max="5115" width="7" customWidth="1"/>
    <col min="5116" max="5116" width="6.75" customWidth="1"/>
    <col min="5117" max="5117" width="11.375" bestFit="1" customWidth="1"/>
    <col min="5118" max="5118" width="28.125" bestFit="1" customWidth="1"/>
    <col min="5119" max="5119" width="17.5" bestFit="1" customWidth="1"/>
    <col min="5120" max="5120" width="14.125" customWidth="1"/>
    <col min="5121" max="5122" width="14.125" bestFit="1" customWidth="1"/>
    <col min="5123" max="5123" width="14.125" customWidth="1"/>
    <col min="5124" max="5124" width="10.75" bestFit="1" customWidth="1"/>
    <col min="5125" max="5125" width="13" customWidth="1"/>
    <col min="5126" max="5126" width="52.125" customWidth="1"/>
    <col min="5371" max="5371" width="7" customWidth="1"/>
    <col min="5372" max="5372" width="6.75" customWidth="1"/>
    <col min="5373" max="5373" width="11.375" bestFit="1" customWidth="1"/>
    <col min="5374" max="5374" width="28.125" bestFit="1" customWidth="1"/>
    <col min="5375" max="5375" width="17.5" bestFit="1" customWidth="1"/>
    <col min="5376" max="5376" width="14.125" customWidth="1"/>
    <col min="5377" max="5378" width="14.125" bestFit="1" customWidth="1"/>
    <col min="5379" max="5379" width="14.125" customWidth="1"/>
    <col min="5380" max="5380" width="10.75" bestFit="1" customWidth="1"/>
    <col min="5381" max="5381" width="13" customWidth="1"/>
    <col min="5382" max="5382" width="52.125" customWidth="1"/>
    <col min="5627" max="5627" width="7" customWidth="1"/>
    <col min="5628" max="5628" width="6.75" customWidth="1"/>
    <col min="5629" max="5629" width="11.375" bestFit="1" customWidth="1"/>
    <col min="5630" max="5630" width="28.125" bestFit="1" customWidth="1"/>
    <col min="5631" max="5631" width="17.5" bestFit="1" customWidth="1"/>
    <col min="5632" max="5632" width="14.125" customWidth="1"/>
    <col min="5633" max="5634" width="14.125" bestFit="1" customWidth="1"/>
    <col min="5635" max="5635" width="14.125" customWidth="1"/>
    <col min="5636" max="5636" width="10.75" bestFit="1" customWidth="1"/>
    <col min="5637" max="5637" width="13" customWidth="1"/>
    <col min="5638" max="5638" width="52.125" customWidth="1"/>
    <col min="5883" max="5883" width="7" customWidth="1"/>
    <col min="5884" max="5884" width="6.75" customWidth="1"/>
    <col min="5885" max="5885" width="11.375" bestFit="1" customWidth="1"/>
    <col min="5886" max="5886" width="28.125" bestFit="1" customWidth="1"/>
    <col min="5887" max="5887" width="17.5" bestFit="1" customWidth="1"/>
    <col min="5888" max="5888" width="14.125" customWidth="1"/>
    <col min="5889" max="5890" width="14.125" bestFit="1" customWidth="1"/>
    <col min="5891" max="5891" width="14.125" customWidth="1"/>
    <col min="5892" max="5892" width="10.75" bestFit="1" customWidth="1"/>
    <col min="5893" max="5893" width="13" customWidth="1"/>
    <col min="5894" max="5894" width="52.125" customWidth="1"/>
    <col min="6139" max="6139" width="7" customWidth="1"/>
    <col min="6140" max="6140" width="6.75" customWidth="1"/>
    <col min="6141" max="6141" width="11.375" bestFit="1" customWidth="1"/>
    <col min="6142" max="6142" width="28.125" bestFit="1" customWidth="1"/>
    <col min="6143" max="6143" width="17.5" bestFit="1" customWidth="1"/>
    <col min="6144" max="6144" width="14.125" customWidth="1"/>
    <col min="6145" max="6146" width="14.125" bestFit="1" customWidth="1"/>
    <col min="6147" max="6147" width="14.125" customWidth="1"/>
    <col min="6148" max="6148" width="10.75" bestFit="1" customWidth="1"/>
    <col min="6149" max="6149" width="13" customWidth="1"/>
    <col min="6150" max="6150" width="52.125" customWidth="1"/>
    <col min="6395" max="6395" width="7" customWidth="1"/>
    <col min="6396" max="6396" width="6.75" customWidth="1"/>
    <col min="6397" max="6397" width="11.375" bestFit="1" customWidth="1"/>
    <col min="6398" max="6398" width="28.125" bestFit="1" customWidth="1"/>
    <col min="6399" max="6399" width="17.5" bestFit="1" customWidth="1"/>
    <col min="6400" max="6400" width="14.125" customWidth="1"/>
    <col min="6401" max="6402" width="14.125" bestFit="1" customWidth="1"/>
    <col min="6403" max="6403" width="14.125" customWidth="1"/>
    <col min="6404" max="6404" width="10.75" bestFit="1" customWidth="1"/>
    <col min="6405" max="6405" width="13" customWidth="1"/>
    <col min="6406" max="6406" width="52.125" customWidth="1"/>
    <col min="6651" max="6651" width="7" customWidth="1"/>
    <col min="6652" max="6652" width="6.75" customWidth="1"/>
    <col min="6653" max="6653" width="11.375" bestFit="1" customWidth="1"/>
    <col min="6654" max="6654" width="28.125" bestFit="1" customWidth="1"/>
    <col min="6655" max="6655" width="17.5" bestFit="1" customWidth="1"/>
    <col min="6656" max="6656" width="14.125" customWidth="1"/>
    <col min="6657" max="6658" width="14.125" bestFit="1" customWidth="1"/>
    <col min="6659" max="6659" width="14.125" customWidth="1"/>
    <col min="6660" max="6660" width="10.75" bestFit="1" customWidth="1"/>
    <col min="6661" max="6661" width="13" customWidth="1"/>
    <col min="6662" max="6662" width="52.125" customWidth="1"/>
    <col min="6907" max="6907" width="7" customWidth="1"/>
    <col min="6908" max="6908" width="6.75" customWidth="1"/>
    <col min="6909" max="6909" width="11.375" bestFit="1" customWidth="1"/>
    <col min="6910" max="6910" width="28.125" bestFit="1" customWidth="1"/>
    <col min="6911" max="6911" width="17.5" bestFit="1" customWidth="1"/>
    <col min="6912" max="6912" width="14.125" customWidth="1"/>
    <col min="6913" max="6914" width="14.125" bestFit="1" customWidth="1"/>
    <col min="6915" max="6915" width="14.125" customWidth="1"/>
    <col min="6916" max="6916" width="10.75" bestFit="1" customWidth="1"/>
    <col min="6917" max="6917" width="13" customWidth="1"/>
    <col min="6918" max="6918" width="52.125" customWidth="1"/>
    <col min="7163" max="7163" width="7" customWidth="1"/>
    <col min="7164" max="7164" width="6.75" customWidth="1"/>
    <col min="7165" max="7165" width="11.375" bestFit="1" customWidth="1"/>
    <col min="7166" max="7166" width="28.125" bestFit="1" customWidth="1"/>
    <col min="7167" max="7167" width="17.5" bestFit="1" customWidth="1"/>
    <col min="7168" max="7168" width="14.125" customWidth="1"/>
    <col min="7169" max="7170" width="14.125" bestFit="1" customWidth="1"/>
    <col min="7171" max="7171" width="14.125" customWidth="1"/>
    <col min="7172" max="7172" width="10.75" bestFit="1" customWidth="1"/>
    <col min="7173" max="7173" width="13" customWidth="1"/>
    <col min="7174" max="7174" width="52.125" customWidth="1"/>
    <col min="7419" max="7419" width="7" customWidth="1"/>
    <col min="7420" max="7420" width="6.75" customWidth="1"/>
    <col min="7421" max="7421" width="11.375" bestFit="1" customWidth="1"/>
    <col min="7422" max="7422" width="28.125" bestFit="1" customWidth="1"/>
    <col min="7423" max="7423" width="17.5" bestFit="1" customWidth="1"/>
    <col min="7424" max="7424" width="14.125" customWidth="1"/>
    <col min="7425" max="7426" width="14.125" bestFit="1" customWidth="1"/>
    <col min="7427" max="7427" width="14.125" customWidth="1"/>
    <col min="7428" max="7428" width="10.75" bestFit="1" customWidth="1"/>
    <col min="7429" max="7429" width="13" customWidth="1"/>
    <col min="7430" max="7430" width="52.125" customWidth="1"/>
    <col min="7675" max="7675" width="7" customWidth="1"/>
    <col min="7676" max="7676" width="6.75" customWidth="1"/>
    <col min="7677" max="7677" width="11.375" bestFit="1" customWidth="1"/>
    <col min="7678" max="7678" width="28.125" bestFit="1" customWidth="1"/>
    <col min="7679" max="7679" width="17.5" bestFit="1" customWidth="1"/>
    <col min="7680" max="7680" width="14.125" customWidth="1"/>
    <col min="7681" max="7682" width="14.125" bestFit="1" customWidth="1"/>
    <col min="7683" max="7683" width="14.125" customWidth="1"/>
    <col min="7684" max="7684" width="10.75" bestFit="1" customWidth="1"/>
    <col min="7685" max="7685" width="13" customWidth="1"/>
    <col min="7686" max="7686" width="52.125" customWidth="1"/>
    <col min="7931" max="7931" width="7" customWidth="1"/>
    <col min="7932" max="7932" width="6.75" customWidth="1"/>
    <col min="7933" max="7933" width="11.375" bestFit="1" customWidth="1"/>
    <col min="7934" max="7934" width="28.125" bestFit="1" customWidth="1"/>
    <col min="7935" max="7935" width="17.5" bestFit="1" customWidth="1"/>
    <col min="7936" max="7936" width="14.125" customWidth="1"/>
    <col min="7937" max="7938" width="14.125" bestFit="1" customWidth="1"/>
    <col min="7939" max="7939" width="14.125" customWidth="1"/>
    <col min="7940" max="7940" width="10.75" bestFit="1" customWidth="1"/>
    <col min="7941" max="7941" width="13" customWidth="1"/>
    <col min="7942" max="7942" width="52.125" customWidth="1"/>
    <col min="8187" max="8187" width="7" customWidth="1"/>
    <col min="8188" max="8188" width="6.75" customWidth="1"/>
    <col min="8189" max="8189" width="11.375" bestFit="1" customWidth="1"/>
    <col min="8190" max="8190" width="28.125" bestFit="1" customWidth="1"/>
    <col min="8191" max="8191" width="17.5" bestFit="1" customWidth="1"/>
    <col min="8192" max="8192" width="14.125" customWidth="1"/>
    <col min="8193" max="8194" width="14.125" bestFit="1" customWidth="1"/>
    <col min="8195" max="8195" width="14.125" customWidth="1"/>
    <col min="8196" max="8196" width="10.75" bestFit="1" customWidth="1"/>
    <col min="8197" max="8197" width="13" customWidth="1"/>
    <col min="8198" max="8198" width="52.125" customWidth="1"/>
    <col min="8443" max="8443" width="7" customWidth="1"/>
    <col min="8444" max="8444" width="6.75" customWidth="1"/>
    <col min="8445" max="8445" width="11.375" bestFit="1" customWidth="1"/>
    <col min="8446" max="8446" width="28.125" bestFit="1" customWidth="1"/>
    <col min="8447" max="8447" width="17.5" bestFit="1" customWidth="1"/>
    <col min="8448" max="8448" width="14.125" customWidth="1"/>
    <col min="8449" max="8450" width="14.125" bestFit="1" customWidth="1"/>
    <col min="8451" max="8451" width="14.125" customWidth="1"/>
    <col min="8452" max="8452" width="10.75" bestFit="1" customWidth="1"/>
    <col min="8453" max="8453" width="13" customWidth="1"/>
    <col min="8454" max="8454" width="52.125" customWidth="1"/>
    <col min="8699" max="8699" width="7" customWidth="1"/>
    <col min="8700" max="8700" width="6.75" customWidth="1"/>
    <col min="8701" max="8701" width="11.375" bestFit="1" customWidth="1"/>
    <col min="8702" max="8702" width="28.125" bestFit="1" customWidth="1"/>
    <col min="8703" max="8703" width="17.5" bestFit="1" customWidth="1"/>
    <col min="8704" max="8704" width="14.125" customWidth="1"/>
    <col min="8705" max="8706" width="14.125" bestFit="1" customWidth="1"/>
    <col min="8707" max="8707" width="14.125" customWidth="1"/>
    <col min="8708" max="8708" width="10.75" bestFit="1" customWidth="1"/>
    <col min="8709" max="8709" width="13" customWidth="1"/>
    <col min="8710" max="8710" width="52.125" customWidth="1"/>
    <col min="8955" max="8955" width="7" customWidth="1"/>
    <col min="8956" max="8956" width="6.75" customWidth="1"/>
    <col min="8957" max="8957" width="11.375" bestFit="1" customWidth="1"/>
    <col min="8958" max="8958" width="28.125" bestFit="1" customWidth="1"/>
    <col min="8959" max="8959" width="17.5" bestFit="1" customWidth="1"/>
    <col min="8960" max="8960" width="14.125" customWidth="1"/>
    <col min="8961" max="8962" width="14.125" bestFit="1" customWidth="1"/>
    <col min="8963" max="8963" width="14.125" customWidth="1"/>
    <col min="8964" max="8964" width="10.75" bestFit="1" customWidth="1"/>
    <col min="8965" max="8965" width="13" customWidth="1"/>
    <col min="8966" max="8966" width="52.125" customWidth="1"/>
    <col min="9211" max="9211" width="7" customWidth="1"/>
    <col min="9212" max="9212" width="6.75" customWidth="1"/>
    <col min="9213" max="9213" width="11.375" bestFit="1" customWidth="1"/>
    <col min="9214" max="9214" width="28.125" bestFit="1" customWidth="1"/>
    <col min="9215" max="9215" width="17.5" bestFit="1" customWidth="1"/>
    <col min="9216" max="9216" width="14.125" customWidth="1"/>
    <col min="9217" max="9218" width="14.125" bestFit="1" customWidth="1"/>
    <col min="9219" max="9219" width="14.125" customWidth="1"/>
    <col min="9220" max="9220" width="10.75" bestFit="1" customWidth="1"/>
    <col min="9221" max="9221" width="13" customWidth="1"/>
    <col min="9222" max="9222" width="52.125" customWidth="1"/>
    <col min="9467" max="9467" width="7" customWidth="1"/>
    <col min="9468" max="9468" width="6.75" customWidth="1"/>
    <col min="9469" max="9469" width="11.375" bestFit="1" customWidth="1"/>
    <col min="9470" max="9470" width="28.125" bestFit="1" customWidth="1"/>
    <col min="9471" max="9471" width="17.5" bestFit="1" customWidth="1"/>
    <col min="9472" max="9472" width="14.125" customWidth="1"/>
    <col min="9473" max="9474" width="14.125" bestFit="1" customWidth="1"/>
    <col min="9475" max="9475" width="14.125" customWidth="1"/>
    <col min="9476" max="9476" width="10.75" bestFit="1" customWidth="1"/>
    <col min="9477" max="9477" width="13" customWidth="1"/>
    <col min="9478" max="9478" width="52.125" customWidth="1"/>
    <col min="9723" max="9723" width="7" customWidth="1"/>
    <col min="9724" max="9724" width="6.75" customWidth="1"/>
    <col min="9725" max="9725" width="11.375" bestFit="1" customWidth="1"/>
    <col min="9726" max="9726" width="28.125" bestFit="1" customWidth="1"/>
    <col min="9727" max="9727" width="17.5" bestFit="1" customWidth="1"/>
    <col min="9728" max="9728" width="14.125" customWidth="1"/>
    <col min="9729" max="9730" width="14.125" bestFit="1" customWidth="1"/>
    <col min="9731" max="9731" width="14.125" customWidth="1"/>
    <col min="9732" max="9732" width="10.75" bestFit="1" customWidth="1"/>
    <col min="9733" max="9733" width="13" customWidth="1"/>
    <col min="9734" max="9734" width="52.125" customWidth="1"/>
    <col min="9979" max="9979" width="7" customWidth="1"/>
    <col min="9980" max="9980" width="6.75" customWidth="1"/>
    <col min="9981" max="9981" width="11.375" bestFit="1" customWidth="1"/>
    <col min="9982" max="9982" width="28.125" bestFit="1" customWidth="1"/>
    <col min="9983" max="9983" width="17.5" bestFit="1" customWidth="1"/>
    <col min="9984" max="9984" width="14.125" customWidth="1"/>
    <col min="9985" max="9986" width="14.125" bestFit="1" customWidth="1"/>
    <col min="9987" max="9987" width="14.125" customWidth="1"/>
    <col min="9988" max="9988" width="10.75" bestFit="1" customWidth="1"/>
    <col min="9989" max="9989" width="13" customWidth="1"/>
    <col min="9990" max="9990" width="52.125" customWidth="1"/>
    <col min="10235" max="10235" width="7" customWidth="1"/>
    <col min="10236" max="10236" width="6.75" customWidth="1"/>
    <col min="10237" max="10237" width="11.375" bestFit="1" customWidth="1"/>
    <col min="10238" max="10238" width="28.125" bestFit="1" customWidth="1"/>
    <col min="10239" max="10239" width="17.5" bestFit="1" customWidth="1"/>
    <col min="10240" max="10240" width="14.125" customWidth="1"/>
    <col min="10241" max="10242" width="14.125" bestFit="1" customWidth="1"/>
    <col min="10243" max="10243" width="14.125" customWidth="1"/>
    <col min="10244" max="10244" width="10.75" bestFit="1" customWidth="1"/>
    <col min="10245" max="10245" width="13" customWidth="1"/>
    <col min="10246" max="10246" width="52.125" customWidth="1"/>
    <col min="10491" max="10491" width="7" customWidth="1"/>
    <col min="10492" max="10492" width="6.75" customWidth="1"/>
    <col min="10493" max="10493" width="11.375" bestFit="1" customWidth="1"/>
    <col min="10494" max="10494" width="28.125" bestFit="1" customWidth="1"/>
    <col min="10495" max="10495" width="17.5" bestFit="1" customWidth="1"/>
    <col min="10496" max="10496" width="14.125" customWidth="1"/>
    <col min="10497" max="10498" width="14.125" bestFit="1" customWidth="1"/>
    <col min="10499" max="10499" width="14.125" customWidth="1"/>
    <col min="10500" max="10500" width="10.75" bestFit="1" customWidth="1"/>
    <col min="10501" max="10501" width="13" customWidth="1"/>
    <col min="10502" max="10502" width="52.125" customWidth="1"/>
    <col min="10747" max="10747" width="7" customWidth="1"/>
    <col min="10748" max="10748" width="6.75" customWidth="1"/>
    <col min="10749" max="10749" width="11.375" bestFit="1" customWidth="1"/>
    <col min="10750" max="10750" width="28.125" bestFit="1" customWidth="1"/>
    <col min="10751" max="10751" width="17.5" bestFit="1" customWidth="1"/>
    <col min="10752" max="10752" width="14.125" customWidth="1"/>
    <col min="10753" max="10754" width="14.125" bestFit="1" customWidth="1"/>
    <col min="10755" max="10755" width="14.125" customWidth="1"/>
    <col min="10756" max="10756" width="10.75" bestFit="1" customWidth="1"/>
    <col min="10757" max="10757" width="13" customWidth="1"/>
    <col min="10758" max="10758" width="52.125" customWidth="1"/>
    <col min="11003" max="11003" width="7" customWidth="1"/>
    <col min="11004" max="11004" width="6.75" customWidth="1"/>
    <col min="11005" max="11005" width="11.375" bestFit="1" customWidth="1"/>
    <col min="11006" max="11006" width="28.125" bestFit="1" customWidth="1"/>
    <col min="11007" max="11007" width="17.5" bestFit="1" customWidth="1"/>
    <col min="11008" max="11008" width="14.125" customWidth="1"/>
    <col min="11009" max="11010" width="14.125" bestFit="1" customWidth="1"/>
    <col min="11011" max="11011" width="14.125" customWidth="1"/>
    <col min="11012" max="11012" width="10.75" bestFit="1" customWidth="1"/>
    <col min="11013" max="11013" width="13" customWidth="1"/>
    <col min="11014" max="11014" width="52.125" customWidth="1"/>
    <col min="11259" max="11259" width="7" customWidth="1"/>
    <col min="11260" max="11260" width="6.75" customWidth="1"/>
    <col min="11261" max="11261" width="11.375" bestFit="1" customWidth="1"/>
    <col min="11262" max="11262" width="28.125" bestFit="1" customWidth="1"/>
    <col min="11263" max="11263" width="17.5" bestFit="1" customWidth="1"/>
    <col min="11264" max="11264" width="14.125" customWidth="1"/>
    <col min="11265" max="11266" width="14.125" bestFit="1" customWidth="1"/>
    <col min="11267" max="11267" width="14.125" customWidth="1"/>
    <col min="11268" max="11268" width="10.75" bestFit="1" customWidth="1"/>
    <col min="11269" max="11269" width="13" customWidth="1"/>
    <col min="11270" max="11270" width="52.125" customWidth="1"/>
    <col min="11515" max="11515" width="7" customWidth="1"/>
    <col min="11516" max="11516" width="6.75" customWidth="1"/>
    <col min="11517" max="11517" width="11.375" bestFit="1" customWidth="1"/>
    <col min="11518" max="11518" width="28.125" bestFit="1" customWidth="1"/>
    <col min="11519" max="11519" width="17.5" bestFit="1" customWidth="1"/>
    <col min="11520" max="11520" width="14.125" customWidth="1"/>
    <col min="11521" max="11522" width="14.125" bestFit="1" customWidth="1"/>
    <col min="11523" max="11523" width="14.125" customWidth="1"/>
    <col min="11524" max="11524" width="10.75" bestFit="1" customWidth="1"/>
    <col min="11525" max="11525" width="13" customWidth="1"/>
    <col min="11526" max="11526" width="52.125" customWidth="1"/>
    <col min="11771" max="11771" width="7" customWidth="1"/>
    <col min="11772" max="11772" width="6.75" customWidth="1"/>
    <col min="11773" max="11773" width="11.375" bestFit="1" customWidth="1"/>
    <col min="11774" max="11774" width="28.125" bestFit="1" customWidth="1"/>
    <col min="11775" max="11775" width="17.5" bestFit="1" customWidth="1"/>
    <col min="11776" max="11776" width="14.125" customWidth="1"/>
    <col min="11777" max="11778" width="14.125" bestFit="1" customWidth="1"/>
    <col min="11779" max="11779" width="14.125" customWidth="1"/>
    <col min="11780" max="11780" width="10.75" bestFit="1" customWidth="1"/>
    <col min="11781" max="11781" width="13" customWidth="1"/>
    <col min="11782" max="11782" width="52.125" customWidth="1"/>
    <col min="12027" max="12027" width="7" customWidth="1"/>
    <col min="12028" max="12028" width="6.75" customWidth="1"/>
    <col min="12029" max="12029" width="11.375" bestFit="1" customWidth="1"/>
    <col min="12030" max="12030" width="28.125" bestFit="1" customWidth="1"/>
    <col min="12031" max="12031" width="17.5" bestFit="1" customWidth="1"/>
    <col min="12032" max="12032" width="14.125" customWidth="1"/>
    <col min="12033" max="12034" width="14.125" bestFit="1" customWidth="1"/>
    <col min="12035" max="12035" width="14.125" customWidth="1"/>
    <col min="12036" max="12036" width="10.75" bestFit="1" customWidth="1"/>
    <col min="12037" max="12037" width="13" customWidth="1"/>
    <col min="12038" max="12038" width="52.125" customWidth="1"/>
    <col min="12283" max="12283" width="7" customWidth="1"/>
    <col min="12284" max="12284" width="6.75" customWidth="1"/>
    <col min="12285" max="12285" width="11.375" bestFit="1" customWidth="1"/>
    <col min="12286" max="12286" width="28.125" bestFit="1" customWidth="1"/>
    <col min="12287" max="12287" width="17.5" bestFit="1" customWidth="1"/>
    <col min="12288" max="12288" width="14.125" customWidth="1"/>
    <col min="12289" max="12290" width="14.125" bestFit="1" customWidth="1"/>
    <col min="12291" max="12291" width="14.125" customWidth="1"/>
    <col min="12292" max="12292" width="10.75" bestFit="1" customWidth="1"/>
    <col min="12293" max="12293" width="13" customWidth="1"/>
    <col min="12294" max="12294" width="52.125" customWidth="1"/>
    <col min="12539" max="12539" width="7" customWidth="1"/>
    <col min="12540" max="12540" width="6.75" customWidth="1"/>
    <col min="12541" max="12541" width="11.375" bestFit="1" customWidth="1"/>
    <col min="12542" max="12542" width="28.125" bestFit="1" customWidth="1"/>
    <col min="12543" max="12543" width="17.5" bestFit="1" customWidth="1"/>
    <col min="12544" max="12544" width="14.125" customWidth="1"/>
    <col min="12545" max="12546" width="14.125" bestFit="1" customWidth="1"/>
    <col min="12547" max="12547" width="14.125" customWidth="1"/>
    <col min="12548" max="12548" width="10.75" bestFit="1" customWidth="1"/>
    <col min="12549" max="12549" width="13" customWidth="1"/>
    <col min="12550" max="12550" width="52.125" customWidth="1"/>
    <col min="12795" max="12795" width="7" customWidth="1"/>
    <col min="12796" max="12796" width="6.75" customWidth="1"/>
    <col min="12797" max="12797" width="11.375" bestFit="1" customWidth="1"/>
    <col min="12798" max="12798" width="28.125" bestFit="1" customWidth="1"/>
    <col min="12799" max="12799" width="17.5" bestFit="1" customWidth="1"/>
    <col min="12800" max="12800" width="14.125" customWidth="1"/>
    <col min="12801" max="12802" width="14.125" bestFit="1" customWidth="1"/>
    <col min="12803" max="12803" width="14.125" customWidth="1"/>
    <col min="12804" max="12804" width="10.75" bestFit="1" customWidth="1"/>
    <col min="12805" max="12805" width="13" customWidth="1"/>
    <col min="12806" max="12806" width="52.125" customWidth="1"/>
    <col min="13051" max="13051" width="7" customWidth="1"/>
    <col min="13052" max="13052" width="6.75" customWidth="1"/>
    <col min="13053" max="13053" width="11.375" bestFit="1" customWidth="1"/>
    <col min="13054" max="13054" width="28.125" bestFit="1" customWidth="1"/>
    <col min="13055" max="13055" width="17.5" bestFit="1" customWidth="1"/>
    <col min="13056" max="13056" width="14.125" customWidth="1"/>
    <col min="13057" max="13058" width="14.125" bestFit="1" customWidth="1"/>
    <col min="13059" max="13059" width="14.125" customWidth="1"/>
    <col min="13060" max="13060" width="10.75" bestFit="1" customWidth="1"/>
    <col min="13061" max="13061" width="13" customWidth="1"/>
    <col min="13062" max="13062" width="52.125" customWidth="1"/>
    <col min="13307" max="13307" width="7" customWidth="1"/>
    <col min="13308" max="13308" width="6.75" customWidth="1"/>
    <col min="13309" max="13309" width="11.375" bestFit="1" customWidth="1"/>
    <col min="13310" max="13310" width="28.125" bestFit="1" customWidth="1"/>
    <col min="13311" max="13311" width="17.5" bestFit="1" customWidth="1"/>
    <col min="13312" max="13312" width="14.125" customWidth="1"/>
    <col min="13313" max="13314" width="14.125" bestFit="1" customWidth="1"/>
    <col min="13315" max="13315" width="14.125" customWidth="1"/>
    <col min="13316" max="13316" width="10.75" bestFit="1" customWidth="1"/>
    <col min="13317" max="13317" width="13" customWidth="1"/>
    <col min="13318" max="13318" width="52.125" customWidth="1"/>
    <col min="13563" max="13563" width="7" customWidth="1"/>
    <col min="13564" max="13564" width="6.75" customWidth="1"/>
    <col min="13565" max="13565" width="11.375" bestFit="1" customWidth="1"/>
    <col min="13566" max="13566" width="28.125" bestFit="1" customWidth="1"/>
    <col min="13567" max="13567" width="17.5" bestFit="1" customWidth="1"/>
    <col min="13568" max="13568" width="14.125" customWidth="1"/>
    <col min="13569" max="13570" width="14.125" bestFit="1" customWidth="1"/>
    <col min="13571" max="13571" width="14.125" customWidth="1"/>
    <col min="13572" max="13572" width="10.75" bestFit="1" customWidth="1"/>
    <col min="13573" max="13573" width="13" customWidth="1"/>
    <col min="13574" max="13574" width="52.125" customWidth="1"/>
    <col min="13819" max="13819" width="7" customWidth="1"/>
    <col min="13820" max="13820" width="6.75" customWidth="1"/>
    <col min="13821" max="13821" width="11.375" bestFit="1" customWidth="1"/>
    <col min="13822" max="13822" width="28.125" bestFit="1" customWidth="1"/>
    <col min="13823" max="13823" width="17.5" bestFit="1" customWidth="1"/>
    <col min="13824" max="13824" width="14.125" customWidth="1"/>
    <col min="13825" max="13826" width="14.125" bestFit="1" customWidth="1"/>
    <col min="13827" max="13827" width="14.125" customWidth="1"/>
    <col min="13828" max="13828" width="10.75" bestFit="1" customWidth="1"/>
    <col min="13829" max="13829" width="13" customWidth="1"/>
    <col min="13830" max="13830" width="52.125" customWidth="1"/>
    <col min="14075" max="14075" width="7" customWidth="1"/>
    <col min="14076" max="14076" width="6.75" customWidth="1"/>
    <col min="14077" max="14077" width="11.375" bestFit="1" customWidth="1"/>
    <col min="14078" max="14078" width="28.125" bestFit="1" customWidth="1"/>
    <col min="14079" max="14079" width="17.5" bestFit="1" customWidth="1"/>
    <col min="14080" max="14080" width="14.125" customWidth="1"/>
    <col min="14081" max="14082" width="14.125" bestFit="1" customWidth="1"/>
    <col min="14083" max="14083" width="14.125" customWidth="1"/>
    <col min="14084" max="14084" width="10.75" bestFit="1" customWidth="1"/>
    <col min="14085" max="14085" width="13" customWidth="1"/>
    <col min="14086" max="14086" width="52.125" customWidth="1"/>
    <col min="14331" max="14331" width="7" customWidth="1"/>
    <col min="14332" max="14332" width="6.75" customWidth="1"/>
    <col min="14333" max="14333" width="11.375" bestFit="1" customWidth="1"/>
    <col min="14334" max="14334" width="28.125" bestFit="1" customWidth="1"/>
    <col min="14335" max="14335" width="17.5" bestFit="1" customWidth="1"/>
    <col min="14336" max="14336" width="14.125" customWidth="1"/>
    <col min="14337" max="14338" width="14.125" bestFit="1" customWidth="1"/>
    <col min="14339" max="14339" width="14.125" customWidth="1"/>
    <col min="14340" max="14340" width="10.75" bestFit="1" customWidth="1"/>
    <col min="14341" max="14341" width="13" customWidth="1"/>
    <col min="14342" max="14342" width="52.125" customWidth="1"/>
    <col min="14587" max="14587" width="7" customWidth="1"/>
    <col min="14588" max="14588" width="6.75" customWidth="1"/>
    <col min="14589" max="14589" width="11.375" bestFit="1" customWidth="1"/>
    <col min="14590" max="14590" width="28.125" bestFit="1" customWidth="1"/>
    <col min="14591" max="14591" width="17.5" bestFit="1" customWidth="1"/>
    <col min="14592" max="14592" width="14.125" customWidth="1"/>
    <col min="14593" max="14594" width="14.125" bestFit="1" customWidth="1"/>
    <col min="14595" max="14595" width="14.125" customWidth="1"/>
    <col min="14596" max="14596" width="10.75" bestFit="1" customWidth="1"/>
    <col min="14597" max="14597" width="13" customWidth="1"/>
    <col min="14598" max="14598" width="52.125" customWidth="1"/>
    <col min="14843" max="14843" width="7" customWidth="1"/>
    <col min="14844" max="14844" width="6.75" customWidth="1"/>
    <col min="14845" max="14845" width="11.375" bestFit="1" customWidth="1"/>
    <col min="14846" max="14846" width="28.125" bestFit="1" customWidth="1"/>
    <col min="14847" max="14847" width="17.5" bestFit="1" customWidth="1"/>
    <col min="14848" max="14848" width="14.125" customWidth="1"/>
    <col min="14849" max="14850" width="14.125" bestFit="1" customWidth="1"/>
    <col min="14851" max="14851" width="14.125" customWidth="1"/>
    <col min="14852" max="14852" width="10.75" bestFit="1" customWidth="1"/>
    <col min="14853" max="14853" width="13" customWidth="1"/>
    <col min="14854" max="14854" width="52.125" customWidth="1"/>
    <col min="15099" max="15099" width="7" customWidth="1"/>
    <col min="15100" max="15100" width="6.75" customWidth="1"/>
    <col min="15101" max="15101" width="11.375" bestFit="1" customWidth="1"/>
    <col min="15102" max="15102" width="28.125" bestFit="1" customWidth="1"/>
    <col min="15103" max="15103" width="17.5" bestFit="1" customWidth="1"/>
    <col min="15104" max="15104" width="14.125" customWidth="1"/>
    <col min="15105" max="15106" width="14.125" bestFit="1" customWidth="1"/>
    <col min="15107" max="15107" width="14.125" customWidth="1"/>
    <col min="15108" max="15108" width="10.75" bestFit="1" customWidth="1"/>
    <col min="15109" max="15109" width="13" customWidth="1"/>
    <col min="15110" max="15110" width="52.125" customWidth="1"/>
    <col min="15355" max="15355" width="7" customWidth="1"/>
    <col min="15356" max="15356" width="6.75" customWidth="1"/>
    <col min="15357" max="15357" width="11.375" bestFit="1" customWidth="1"/>
    <col min="15358" max="15358" width="28.125" bestFit="1" customWidth="1"/>
    <col min="15359" max="15359" width="17.5" bestFit="1" customWidth="1"/>
    <col min="15360" max="15360" width="14.125" customWidth="1"/>
    <col min="15361" max="15362" width="14.125" bestFit="1" customWidth="1"/>
    <col min="15363" max="15363" width="14.125" customWidth="1"/>
    <col min="15364" max="15364" width="10.75" bestFit="1" customWidth="1"/>
    <col min="15365" max="15365" width="13" customWidth="1"/>
    <col min="15366" max="15366" width="52.125" customWidth="1"/>
    <col min="15611" max="15611" width="7" customWidth="1"/>
    <col min="15612" max="15612" width="6.75" customWidth="1"/>
    <col min="15613" max="15613" width="11.375" bestFit="1" customWidth="1"/>
    <col min="15614" max="15614" width="28.125" bestFit="1" customWidth="1"/>
    <col min="15615" max="15615" width="17.5" bestFit="1" customWidth="1"/>
    <col min="15616" max="15616" width="14.125" customWidth="1"/>
    <col min="15617" max="15618" width="14.125" bestFit="1" customWidth="1"/>
    <col min="15619" max="15619" width="14.125" customWidth="1"/>
    <col min="15620" max="15620" width="10.75" bestFit="1" customWidth="1"/>
    <col min="15621" max="15621" width="13" customWidth="1"/>
    <col min="15622" max="15622" width="52.125" customWidth="1"/>
    <col min="15867" max="15867" width="7" customWidth="1"/>
    <col min="15868" max="15868" width="6.75" customWidth="1"/>
    <col min="15869" max="15869" width="11.375" bestFit="1" customWidth="1"/>
    <col min="15870" max="15870" width="28.125" bestFit="1" customWidth="1"/>
    <col min="15871" max="15871" width="17.5" bestFit="1" customWidth="1"/>
    <col min="15872" max="15872" width="14.125" customWidth="1"/>
    <col min="15873" max="15874" width="14.125" bestFit="1" customWidth="1"/>
    <col min="15875" max="15875" width="14.125" customWidth="1"/>
    <col min="15876" max="15876" width="10.75" bestFit="1" customWidth="1"/>
    <col min="15877" max="15877" width="13" customWidth="1"/>
    <col min="15878" max="15878" width="52.125" customWidth="1"/>
    <col min="16123" max="16123" width="7" customWidth="1"/>
    <col min="16124" max="16124" width="6.75" customWidth="1"/>
    <col min="16125" max="16125" width="11.375" bestFit="1" customWidth="1"/>
    <col min="16126" max="16126" width="28.125" bestFit="1" customWidth="1"/>
    <col min="16127" max="16127" width="17.5" bestFit="1" customWidth="1"/>
    <col min="16128" max="16128" width="14.125" customWidth="1"/>
    <col min="16129" max="16130" width="14.125" bestFit="1" customWidth="1"/>
    <col min="16131" max="16131" width="14.125" customWidth="1"/>
    <col min="16132" max="16132" width="10.75" bestFit="1" customWidth="1"/>
    <col min="16133" max="16133" width="13" customWidth="1"/>
    <col min="16134" max="16134" width="52.125" customWidth="1"/>
  </cols>
  <sheetData>
    <row r="1" spans="1:7" ht="28.5">
      <c r="A1" s="14" t="s">
        <v>43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</row>
    <row r="2" spans="1:7">
      <c r="A2" s="19">
        <v>1111000100</v>
      </c>
      <c r="B2" s="20" t="s">
        <v>44</v>
      </c>
      <c r="C2" s="23">
        <v>-5300000</v>
      </c>
      <c r="D2" s="23">
        <v>-4138783</v>
      </c>
      <c r="E2" s="23">
        <f>-(4211084+455704+200000)</f>
        <v>-4866788</v>
      </c>
      <c r="F2" s="23">
        <v>-5300000</v>
      </c>
    </row>
    <row r="3" spans="1:7">
      <c r="A3" s="19">
        <v>1111100100</v>
      </c>
      <c r="B3" s="20" t="s">
        <v>45</v>
      </c>
      <c r="C3" s="23">
        <v>0</v>
      </c>
      <c r="D3" s="23">
        <v>-2624</v>
      </c>
      <c r="E3" s="23">
        <v>0</v>
      </c>
      <c r="F3" s="23">
        <v>0</v>
      </c>
    </row>
    <row r="4" spans="1:7">
      <c r="A4" s="19">
        <v>1111110100</v>
      </c>
      <c r="B4" s="20" t="s">
        <v>46</v>
      </c>
      <c r="C4" s="23">
        <v>0</v>
      </c>
      <c r="D4" s="23">
        <v>-4019</v>
      </c>
      <c r="E4" s="23">
        <v>0</v>
      </c>
      <c r="F4" s="23">
        <v>0</v>
      </c>
    </row>
    <row r="5" spans="1:7">
      <c r="A5" s="19">
        <v>1111120100</v>
      </c>
      <c r="B5" s="20" t="s">
        <v>47</v>
      </c>
      <c r="C5" s="23">
        <v>0</v>
      </c>
      <c r="D5" s="23">
        <v>-6383</v>
      </c>
      <c r="E5" s="23">
        <v>0</v>
      </c>
      <c r="F5" s="23">
        <v>0</v>
      </c>
    </row>
    <row r="6" spans="1:7">
      <c r="A6" s="19">
        <v>1111130100</v>
      </c>
      <c r="B6" s="20" t="s">
        <v>48</v>
      </c>
      <c r="C6" s="23">
        <v>0</v>
      </c>
      <c r="D6" s="23">
        <v>-3554</v>
      </c>
      <c r="E6" s="23">
        <v>0</v>
      </c>
      <c r="F6" s="23">
        <v>0</v>
      </c>
    </row>
    <row r="7" spans="1:7">
      <c r="A7" s="19">
        <v>1111140100</v>
      </c>
      <c r="B7" s="20" t="s">
        <v>49</v>
      </c>
      <c r="C7" s="23">
        <v>0</v>
      </c>
      <c r="D7" s="23">
        <v>-20089</v>
      </c>
      <c r="E7" s="23">
        <v>0</v>
      </c>
      <c r="F7" s="23">
        <v>0</v>
      </c>
    </row>
    <row r="8" spans="1:7">
      <c r="A8" s="19">
        <v>1111150100</v>
      </c>
      <c r="B8" s="20" t="s">
        <v>50</v>
      </c>
      <c r="C8" s="23">
        <v>0</v>
      </c>
      <c r="D8" s="23">
        <v>-35579</v>
      </c>
      <c r="E8" s="23">
        <v>0</v>
      </c>
      <c r="F8" s="23">
        <v>0</v>
      </c>
    </row>
    <row r="9" spans="1:7">
      <c r="A9" s="19">
        <v>1111160100</v>
      </c>
      <c r="B9" s="20" t="s">
        <v>51</v>
      </c>
      <c r="C9" s="23">
        <v>-400000</v>
      </c>
      <c r="D9" s="23">
        <v>-318202</v>
      </c>
      <c r="E9" s="23">
        <f>-(335086+17110+38830+1058+19704+651+3560+235+4012+2613+35515+942)</f>
        <v>-459316</v>
      </c>
      <c r="F9" s="23">
        <v>-450000</v>
      </c>
    </row>
    <row r="10" spans="1:7">
      <c r="A10" s="19">
        <v>1111800100</v>
      </c>
      <c r="B10" s="20" t="s">
        <v>52</v>
      </c>
      <c r="C10" s="23">
        <v>0</v>
      </c>
      <c r="D10" s="23">
        <v>46.8</v>
      </c>
      <c r="E10" s="23">
        <v>0</v>
      </c>
      <c r="F10" s="23">
        <v>0</v>
      </c>
    </row>
    <row r="11" spans="1:7">
      <c r="A11" s="19">
        <v>1111900100</v>
      </c>
      <c r="B11" s="20" t="s">
        <v>53</v>
      </c>
      <c r="C11" s="23">
        <v>0</v>
      </c>
      <c r="D11" s="23">
        <v>-60</v>
      </c>
      <c r="E11" s="23">
        <v>0</v>
      </c>
      <c r="F11" s="23">
        <v>0</v>
      </c>
    </row>
    <row r="12" spans="1:7">
      <c r="A12" s="19">
        <v>1111990100</v>
      </c>
      <c r="B12" s="20" t="s">
        <v>54</v>
      </c>
      <c r="C12" s="23">
        <v>0</v>
      </c>
      <c r="D12" s="23">
        <v>-34574</v>
      </c>
      <c r="E12" s="23">
        <v>0</v>
      </c>
      <c r="F12" s="23">
        <v>0</v>
      </c>
    </row>
    <row r="13" spans="1:7">
      <c r="A13" s="19">
        <v>1116000100</v>
      </c>
      <c r="B13" s="20" t="s">
        <v>55</v>
      </c>
      <c r="C13" s="23">
        <v>-2000000</v>
      </c>
      <c r="D13" s="23">
        <v>-1823966.9</v>
      </c>
      <c r="E13" s="23">
        <v>-2000000</v>
      </c>
      <c r="F13" s="23">
        <v>-2200000</v>
      </c>
    </row>
    <row r="14" spans="1:7">
      <c r="A14" s="19">
        <v>1121000220</v>
      </c>
      <c r="B14" s="20" t="s">
        <v>56</v>
      </c>
      <c r="C14" s="23">
        <v>-31000</v>
      </c>
      <c r="D14" s="23">
        <v>-21633</v>
      </c>
      <c r="E14" s="23">
        <v>-23000</v>
      </c>
      <c r="F14" s="23">
        <f>E14</f>
        <v>-23000</v>
      </c>
    </row>
    <row r="15" spans="1:7">
      <c r="A15" s="19">
        <v>1131000310</v>
      </c>
      <c r="B15" s="20" t="s">
        <v>57</v>
      </c>
      <c r="C15" s="23">
        <v>-300000</v>
      </c>
      <c r="D15" s="23">
        <v>0</v>
      </c>
      <c r="E15" s="23">
        <v>0</v>
      </c>
      <c r="F15" s="23">
        <v>-300000</v>
      </c>
      <c r="G15" s="11"/>
    </row>
    <row r="16" spans="1:7">
      <c r="A16" s="19">
        <v>1157000790</v>
      </c>
      <c r="B16" s="20" t="s">
        <v>58</v>
      </c>
      <c r="C16" s="23">
        <v>0</v>
      </c>
      <c r="D16" s="23">
        <v>-142800</v>
      </c>
      <c r="E16" s="23">
        <v>-200000</v>
      </c>
      <c r="F16" s="23">
        <v>-230000</v>
      </c>
    </row>
    <row r="17" spans="1:6">
      <c r="A17" s="19">
        <v>1191000910</v>
      </c>
      <c r="B17" s="20" t="s">
        <v>59</v>
      </c>
      <c r="C17" s="23">
        <v>-13177027</v>
      </c>
      <c r="D17" s="23">
        <v>-10031414.689999999</v>
      </c>
      <c r="E17" s="23">
        <v>-13177027</v>
      </c>
      <c r="F17" s="23">
        <f>E17*(100%-0%)</f>
        <v>-13177027</v>
      </c>
    </row>
    <row r="18" spans="1:6">
      <c r="A18" s="19">
        <v>1192000910</v>
      </c>
      <c r="B18" s="20" t="s">
        <v>60</v>
      </c>
      <c r="C18" s="23">
        <v>-72908</v>
      </c>
      <c r="D18" s="23">
        <v>0</v>
      </c>
      <c r="E18" s="23">
        <v>-15000</v>
      </c>
      <c r="F18" s="23">
        <f>E18</f>
        <v>-15000</v>
      </c>
    </row>
    <row r="19" spans="1:6">
      <c r="A19" s="19">
        <v>1194000910</v>
      </c>
      <c r="B19" s="20" t="s">
        <v>61</v>
      </c>
      <c r="C19" s="23">
        <v>0</v>
      </c>
      <c r="D19" s="23">
        <v>0</v>
      </c>
      <c r="E19" s="23">
        <v>0</v>
      </c>
      <c r="F19" s="23">
        <f t="shared" ref="F19:F27" si="0">E19</f>
        <v>0</v>
      </c>
    </row>
    <row r="20" spans="1:6">
      <c r="A20" s="19">
        <v>1195000910</v>
      </c>
      <c r="B20" s="20" t="s">
        <v>62</v>
      </c>
      <c r="C20" s="23">
        <v>0</v>
      </c>
      <c r="D20" s="23">
        <v>0</v>
      </c>
      <c r="E20" s="23">
        <v>0</v>
      </c>
      <c r="F20" s="23">
        <v>-113200</v>
      </c>
    </row>
    <row r="21" spans="1:6">
      <c r="A21" s="19">
        <v>1210000220</v>
      </c>
      <c r="B21" s="20" t="s">
        <v>63</v>
      </c>
      <c r="C21" s="23">
        <v>-10000</v>
      </c>
      <c r="D21" s="23">
        <v>-9485</v>
      </c>
      <c r="E21" s="23">
        <v>-10000</v>
      </c>
      <c r="F21" s="23">
        <f t="shared" si="0"/>
        <v>-10000</v>
      </c>
    </row>
    <row r="22" spans="1:6">
      <c r="A22" s="19">
        <v>1212200650</v>
      </c>
      <c r="B22" s="20" t="s">
        <v>64</v>
      </c>
      <c r="C22" s="23">
        <v>-140000</v>
      </c>
      <c r="D22" s="23">
        <v>-115500</v>
      </c>
      <c r="E22" s="23">
        <v>-150000</v>
      </c>
      <c r="F22" s="23">
        <f t="shared" si="0"/>
        <v>-150000</v>
      </c>
    </row>
    <row r="23" spans="1:6">
      <c r="A23" s="19">
        <v>1213200220</v>
      </c>
      <c r="B23" s="20" t="s">
        <v>65</v>
      </c>
      <c r="C23" s="23">
        <v>-2500</v>
      </c>
      <c r="D23" s="23">
        <v>-319</v>
      </c>
      <c r="E23" s="23">
        <v>-2000</v>
      </c>
      <c r="F23" s="23">
        <f t="shared" si="0"/>
        <v>-2000</v>
      </c>
    </row>
    <row r="24" spans="1:6">
      <c r="A24" s="19">
        <v>1214200220</v>
      </c>
      <c r="B24" s="20" t="s">
        <v>66</v>
      </c>
      <c r="C24" s="23">
        <v>-12000</v>
      </c>
      <c r="D24" s="22">
        <v>-39289</v>
      </c>
      <c r="E24" s="23">
        <v>-40000</v>
      </c>
      <c r="F24" s="23">
        <f t="shared" si="0"/>
        <v>-40000</v>
      </c>
    </row>
    <row r="25" spans="1:6">
      <c r="A25" s="19">
        <v>1214300220</v>
      </c>
      <c r="B25" s="20" t="s">
        <v>67</v>
      </c>
      <c r="C25" s="23">
        <v>-5000</v>
      </c>
      <c r="D25" s="23">
        <v>0</v>
      </c>
      <c r="E25" s="23">
        <v>0</v>
      </c>
      <c r="F25" s="23">
        <f t="shared" si="0"/>
        <v>0</v>
      </c>
    </row>
    <row r="26" spans="1:6">
      <c r="A26" s="19">
        <v>1214310220</v>
      </c>
      <c r="B26" s="20" t="s">
        <v>68</v>
      </c>
      <c r="C26" s="23">
        <v>-11000</v>
      </c>
      <c r="D26" s="23">
        <v>0</v>
      </c>
      <c r="E26" s="23">
        <v>0</v>
      </c>
      <c r="F26" s="23">
        <v>-17000</v>
      </c>
    </row>
    <row r="27" spans="1:6">
      <c r="A27" s="19">
        <v>1221000790</v>
      </c>
      <c r="B27" s="20" t="s">
        <v>69</v>
      </c>
      <c r="C27" s="23">
        <v>-30000</v>
      </c>
      <c r="D27" s="23">
        <v>0</v>
      </c>
      <c r="E27" s="23">
        <v>0</v>
      </c>
      <c r="F27" s="23">
        <f t="shared" si="0"/>
        <v>0</v>
      </c>
    </row>
    <row r="28" spans="1:6">
      <c r="A28" s="19">
        <v>1224000990</v>
      </c>
      <c r="B28" s="20" t="s">
        <v>70</v>
      </c>
      <c r="C28" s="23">
        <v>0</v>
      </c>
      <c r="D28" s="23">
        <v>0</v>
      </c>
      <c r="E28" s="23">
        <v>0</v>
      </c>
      <c r="F28" s="23">
        <v>-23000</v>
      </c>
    </row>
    <row r="29" spans="1:6">
      <c r="A29" s="19">
        <v>1231000220</v>
      </c>
      <c r="B29" s="20" t="s">
        <v>71</v>
      </c>
      <c r="C29" s="23">
        <v>-40000</v>
      </c>
      <c r="D29" s="23">
        <v>-56200</v>
      </c>
      <c r="E29" s="23">
        <v>-57000</v>
      </c>
      <c r="F29" s="23">
        <v>-70000</v>
      </c>
    </row>
    <row r="30" spans="1:6">
      <c r="A30" s="19">
        <v>1242190450</v>
      </c>
      <c r="B30" s="20" t="s">
        <v>72</v>
      </c>
      <c r="C30" s="23">
        <v>-5000</v>
      </c>
      <c r="D30" s="23">
        <v>0</v>
      </c>
      <c r="E30" s="23">
        <v>0</v>
      </c>
      <c r="F30" s="23">
        <f>E30</f>
        <v>0</v>
      </c>
    </row>
    <row r="31" spans="1:6">
      <c r="A31" s="19">
        <v>1266000990</v>
      </c>
      <c r="B31" s="20" t="s">
        <v>73</v>
      </c>
      <c r="C31" s="23">
        <v>0</v>
      </c>
      <c r="D31" s="23">
        <v>0</v>
      </c>
      <c r="E31" s="23">
        <v>0</v>
      </c>
      <c r="F31" s="23">
        <v>-97000</v>
      </c>
    </row>
    <row r="32" spans="1:6">
      <c r="A32" s="19">
        <v>1269000290</v>
      </c>
      <c r="B32" s="20" t="s">
        <v>74</v>
      </c>
      <c r="C32" s="23">
        <v>-1000</v>
      </c>
      <c r="D32" s="23">
        <v>0</v>
      </c>
      <c r="E32" s="23">
        <v>0</v>
      </c>
      <c r="F32" s="23">
        <v>-1000</v>
      </c>
    </row>
    <row r="33" spans="1:6">
      <c r="A33" s="19">
        <v>1312200420</v>
      </c>
      <c r="B33" s="20" t="s">
        <v>75</v>
      </c>
      <c r="C33" s="23">
        <v>-40000</v>
      </c>
      <c r="D33" s="23">
        <v>-24342</v>
      </c>
      <c r="E33" s="23">
        <f t="shared" ref="E33:E43" si="1">D33/10*12</f>
        <v>-29210.399999999998</v>
      </c>
      <c r="F33" s="23">
        <v>-30000</v>
      </c>
    </row>
    <row r="34" spans="1:6">
      <c r="A34" s="19">
        <v>1312200920</v>
      </c>
      <c r="B34" s="20" t="s">
        <v>76</v>
      </c>
      <c r="C34" s="23">
        <v>-500000</v>
      </c>
      <c r="D34" s="23">
        <v>-374059</v>
      </c>
      <c r="E34" s="23">
        <f t="shared" si="1"/>
        <v>-448870.80000000005</v>
      </c>
      <c r="F34" s="23">
        <v>-500000</v>
      </c>
    </row>
    <row r="35" spans="1:6">
      <c r="A35" s="19">
        <v>1312300920</v>
      </c>
      <c r="B35" s="20" t="s">
        <v>77</v>
      </c>
      <c r="C35" s="23">
        <v>-1400000</v>
      </c>
      <c r="D35" s="23">
        <v>-1287461</v>
      </c>
      <c r="E35" s="23">
        <f t="shared" si="1"/>
        <v>-1544953.2000000002</v>
      </c>
      <c r="F35" s="23">
        <v>-1550000</v>
      </c>
    </row>
    <row r="36" spans="1:6">
      <c r="A36" s="19">
        <v>1312600920</v>
      </c>
      <c r="B36" s="20" t="s">
        <v>78</v>
      </c>
      <c r="C36" s="23">
        <v>-8000</v>
      </c>
      <c r="D36" s="23">
        <v>-7272</v>
      </c>
      <c r="E36" s="23">
        <f t="shared" si="1"/>
        <v>-8726.4000000000015</v>
      </c>
      <c r="F36" s="23">
        <v>-9000</v>
      </c>
    </row>
    <row r="37" spans="1:6">
      <c r="A37" s="19">
        <v>1313200410</v>
      </c>
      <c r="B37" s="20" t="s">
        <v>79</v>
      </c>
      <c r="C37" s="23">
        <v>-1000</v>
      </c>
      <c r="D37" s="23">
        <v>-53</v>
      </c>
      <c r="E37" s="23">
        <f t="shared" si="1"/>
        <v>-63.599999999999994</v>
      </c>
      <c r="F37" s="23">
        <v>-1000</v>
      </c>
    </row>
    <row r="38" spans="1:6">
      <c r="A38" s="19">
        <v>1313200420</v>
      </c>
      <c r="B38" s="20" t="s">
        <v>80</v>
      </c>
      <c r="C38" s="23">
        <v>-120000</v>
      </c>
      <c r="D38" s="23">
        <v>-73676</v>
      </c>
      <c r="E38" s="23">
        <f t="shared" si="1"/>
        <v>-88411.200000000012</v>
      </c>
      <c r="F38" s="23">
        <v>-90000</v>
      </c>
    </row>
    <row r="39" spans="1:6">
      <c r="A39" s="19">
        <v>1313200430</v>
      </c>
      <c r="B39" s="20" t="s">
        <v>81</v>
      </c>
      <c r="C39" s="23">
        <v>-36000</v>
      </c>
      <c r="D39" s="23">
        <v>-1818</v>
      </c>
      <c r="E39" s="23">
        <f t="shared" si="1"/>
        <v>-2181.6000000000004</v>
      </c>
      <c r="F39" s="23">
        <v>-15000</v>
      </c>
    </row>
    <row r="40" spans="1:6">
      <c r="A40" s="19">
        <v>1313200920</v>
      </c>
      <c r="B40" s="20" t="s">
        <v>82</v>
      </c>
      <c r="C40" s="23">
        <v>-1100000</v>
      </c>
      <c r="D40" s="23">
        <v>-906827</v>
      </c>
      <c r="E40" s="23">
        <f t="shared" si="1"/>
        <v>-1088192.3999999999</v>
      </c>
      <c r="F40" s="23">
        <v>-1100000</v>
      </c>
    </row>
    <row r="41" spans="1:6">
      <c r="A41" s="19">
        <v>1313290410</v>
      </c>
      <c r="B41" s="20" t="s">
        <v>83</v>
      </c>
      <c r="C41" s="23">
        <v>-2000</v>
      </c>
      <c r="D41" s="23">
        <v>-1502</v>
      </c>
      <c r="E41" s="23">
        <f t="shared" si="1"/>
        <v>-1802.3999999999999</v>
      </c>
      <c r="F41" s="23">
        <v>-2000</v>
      </c>
    </row>
    <row r="42" spans="1:6">
      <c r="A42" s="19">
        <v>1313600920</v>
      </c>
      <c r="B42" s="20" t="s">
        <v>84</v>
      </c>
      <c r="C42" s="23">
        <v>0</v>
      </c>
      <c r="D42" s="23">
        <v>-37592</v>
      </c>
      <c r="E42" s="23">
        <f t="shared" si="1"/>
        <v>-45110.399999999994</v>
      </c>
      <c r="F42" s="23">
        <v>-46000</v>
      </c>
    </row>
    <row r="43" spans="1:6">
      <c r="A43" s="19">
        <v>1313800420</v>
      </c>
      <c r="B43" s="20" t="s">
        <v>85</v>
      </c>
      <c r="C43" s="23">
        <v>0</v>
      </c>
      <c r="D43" s="23">
        <v>-270</v>
      </c>
      <c r="E43" s="23">
        <f t="shared" si="1"/>
        <v>-324</v>
      </c>
      <c r="F43" s="23">
        <v>0</v>
      </c>
    </row>
    <row r="44" spans="1:6">
      <c r="A44" s="19">
        <v>1313800920</v>
      </c>
      <c r="B44" s="20" t="s">
        <v>86</v>
      </c>
      <c r="C44" s="23">
        <v>-155000</v>
      </c>
      <c r="D44" s="23">
        <v>-221617</v>
      </c>
      <c r="E44" s="23">
        <v>-221617</v>
      </c>
      <c r="F44" s="23">
        <v>-250000</v>
      </c>
    </row>
    <row r="45" spans="1:6">
      <c r="A45" s="19">
        <v>1313810420</v>
      </c>
      <c r="B45" s="20" t="s">
        <v>87</v>
      </c>
      <c r="C45" s="23">
        <v>-7000</v>
      </c>
      <c r="D45" s="23">
        <v>-5147</v>
      </c>
      <c r="E45" s="23">
        <f t="shared" ref="E45:E60" si="2">D45/10*12</f>
        <v>-6176.4000000000005</v>
      </c>
      <c r="F45" s="23">
        <v>-1000</v>
      </c>
    </row>
    <row r="46" spans="1:6">
      <c r="A46" s="19">
        <v>1313820420</v>
      </c>
      <c r="B46" s="20" t="s">
        <v>88</v>
      </c>
      <c r="C46" s="23">
        <v>-9500</v>
      </c>
      <c r="D46" s="23">
        <v>-2160</v>
      </c>
      <c r="E46" s="23">
        <f t="shared" si="2"/>
        <v>-2592</v>
      </c>
      <c r="F46" s="23">
        <v>-4000</v>
      </c>
    </row>
    <row r="47" spans="1:6">
      <c r="A47" s="19">
        <v>1314200920</v>
      </c>
      <c r="B47" s="20" t="s">
        <v>89</v>
      </c>
      <c r="C47" s="23">
        <v>-850000</v>
      </c>
      <c r="D47" s="23">
        <v>-666198</v>
      </c>
      <c r="E47" s="23">
        <f t="shared" si="2"/>
        <v>-799437.60000000009</v>
      </c>
      <c r="F47" s="23">
        <v>-850000</v>
      </c>
    </row>
    <row r="48" spans="1:6">
      <c r="A48" s="19">
        <v>1315200920</v>
      </c>
      <c r="B48" s="20" t="s">
        <v>90</v>
      </c>
      <c r="C48" s="23">
        <v>-7270000</v>
      </c>
      <c r="D48" s="23">
        <v>-6784403</v>
      </c>
      <c r="E48" s="23">
        <f t="shared" si="2"/>
        <v>-8141283.6000000006</v>
      </c>
      <c r="F48" s="23">
        <v>-8100000</v>
      </c>
    </row>
    <row r="49" spans="1:7">
      <c r="A49" s="19">
        <v>1315700920</v>
      </c>
      <c r="B49" s="20" t="s">
        <v>91</v>
      </c>
      <c r="C49" s="23">
        <v>-1645000</v>
      </c>
      <c r="D49" s="23">
        <v>-976086</v>
      </c>
      <c r="E49" s="23">
        <f t="shared" si="2"/>
        <v>-1171303.2000000002</v>
      </c>
      <c r="F49" s="23">
        <v>-1200000</v>
      </c>
    </row>
    <row r="50" spans="1:7">
      <c r="A50" s="19">
        <v>1317100920</v>
      </c>
      <c r="B50" s="20" t="s">
        <v>92</v>
      </c>
      <c r="C50" s="23">
        <v>-192000</v>
      </c>
      <c r="D50" s="23">
        <v>-117630.64</v>
      </c>
      <c r="E50" s="23">
        <f>D50/10*12-60000</f>
        <v>-201156.76800000001</v>
      </c>
      <c r="F50" s="23">
        <v>-262400</v>
      </c>
      <c r="G50" t="s">
        <v>495</v>
      </c>
    </row>
    <row r="51" spans="1:7">
      <c r="A51" s="19">
        <v>1317300920</v>
      </c>
      <c r="B51" s="20" t="s">
        <v>93</v>
      </c>
      <c r="C51" s="23">
        <v>-450000</v>
      </c>
      <c r="D51" s="23">
        <v>-397159</v>
      </c>
      <c r="E51" s="23">
        <f t="shared" si="2"/>
        <v>-476590.80000000005</v>
      </c>
      <c r="F51" s="23">
        <v>-480000</v>
      </c>
    </row>
    <row r="52" spans="1:7">
      <c r="A52" s="19">
        <v>1317500420</v>
      </c>
      <c r="B52" s="20" t="s">
        <v>94</v>
      </c>
      <c r="C52" s="23">
        <v>-87000</v>
      </c>
      <c r="D52" s="23">
        <v>-61012</v>
      </c>
      <c r="E52" s="23">
        <f t="shared" si="2"/>
        <v>-73214.399999999994</v>
      </c>
      <c r="F52" s="23">
        <v>-75000</v>
      </c>
    </row>
    <row r="53" spans="1:7">
      <c r="A53" s="19">
        <v>1317600920</v>
      </c>
      <c r="B53" s="20" t="s">
        <v>95</v>
      </c>
      <c r="C53" s="23">
        <v>-700000</v>
      </c>
      <c r="D53" s="23">
        <v>-644224</v>
      </c>
      <c r="E53" s="23">
        <f t="shared" si="2"/>
        <v>-773068.80000000005</v>
      </c>
      <c r="F53" s="23">
        <v>-770000</v>
      </c>
    </row>
    <row r="54" spans="1:7">
      <c r="A54" s="19">
        <v>1317700920</v>
      </c>
      <c r="B54" s="20" t="s">
        <v>96</v>
      </c>
      <c r="C54" s="23">
        <v>-92000</v>
      </c>
      <c r="D54" s="23">
        <v>-78471</v>
      </c>
      <c r="E54" s="23">
        <f t="shared" si="2"/>
        <v>-94165.200000000012</v>
      </c>
      <c r="F54" s="23">
        <v>-95000</v>
      </c>
    </row>
    <row r="55" spans="1:7">
      <c r="A55" s="19">
        <v>1317800920</v>
      </c>
      <c r="B55" s="20" t="s">
        <v>97</v>
      </c>
      <c r="C55" s="23">
        <v>-460000</v>
      </c>
      <c r="D55" s="23">
        <v>-761341</v>
      </c>
      <c r="E55" s="23">
        <f t="shared" si="2"/>
        <v>-913609.20000000007</v>
      </c>
      <c r="F55" s="23">
        <v>-900000</v>
      </c>
    </row>
    <row r="56" spans="1:7">
      <c r="A56" s="19">
        <v>1317801920</v>
      </c>
      <c r="B56" s="20" t="s">
        <v>98</v>
      </c>
      <c r="C56" s="23">
        <v>-640000</v>
      </c>
      <c r="D56" s="23">
        <v>-562422</v>
      </c>
      <c r="E56" s="23">
        <f t="shared" si="2"/>
        <v>-674906.39999999991</v>
      </c>
      <c r="F56" s="23">
        <v>-680000</v>
      </c>
    </row>
    <row r="57" spans="1:7">
      <c r="A57" s="19">
        <v>1317810920</v>
      </c>
      <c r="B57" s="20" t="s">
        <v>99</v>
      </c>
      <c r="C57" s="23">
        <v>-210000</v>
      </c>
      <c r="D57" s="23">
        <v>-226832</v>
      </c>
      <c r="E57" s="23">
        <f t="shared" si="2"/>
        <v>-272198.40000000002</v>
      </c>
      <c r="F57" s="23">
        <v>-270000</v>
      </c>
    </row>
    <row r="58" spans="1:7">
      <c r="A58" s="19">
        <v>1317900920</v>
      </c>
      <c r="B58" s="20" t="s">
        <v>100</v>
      </c>
      <c r="C58" s="23">
        <v>-310000</v>
      </c>
      <c r="D58" s="23">
        <v>-321655</v>
      </c>
      <c r="E58" s="23">
        <f t="shared" si="2"/>
        <v>-385986</v>
      </c>
      <c r="F58" s="23">
        <v>-380000</v>
      </c>
    </row>
    <row r="59" spans="1:7">
      <c r="A59" s="19">
        <v>1317901920</v>
      </c>
      <c r="B59" s="20" t="s">
        <v>101</v>
      </c>
      <c r="C59" s="23">
        <v>-45000</v>
      </c>
      <c r="D59" s="23">
        <v>-32923</v>
      </c>
      <c r="E59" s="23">
        <f t="shared" si="2"/>
        <v>-39507.600000000006</v>
      </c>
      <c r="F59" s="23">
        <v>-40000</v>
      </c>
      <c r="G59" t="s">
        <v>102</v>
      </c>
    </row>
    <row r="60" spans="1:7">
      <c r="A60" s="19">
        <v>1324000420</v>
      </c>
      <c r="B60" s="20" t="s">
        <v>103</v>
      </c>
      <c r="C60" s="23">
        <v>0</v>
      </c>
      <c r="D60" s="23">
        <v>-1072</v>
      </c>
      <c r="E60" s="23">
        <f t="shared" si="2"/>
        <v>-1286.4000000000001</v>
      </c>
      <c r="F60" s="23">
        <v>0</v>
      </c>
    </row>
    <row r="61" spans="1:7">
      <c r="A61" s="19">
        <v>1324000920</v>
      </c>
      <c r="B61" s="20" t="s">
        <v>104</v>
      </c>
      <c r="C61" s="23">
        <v>-160000</v>
      </c>
      <c r="D61" s="23">
        <v>-100000</v>
      </c>
      <c r="E61" s="23">
        <f>D61/10*12-40000</f>
        <v>-160000</v>
      </c>
      <c r="F61" s="23">
        <v>-670000</v>
      </c>
      <c r="G61" t="s">
        <v>496</v>
      </c>
    </row>
    <row r="62" spans="1:7">
      <c r="A62" s="19">
        <v>1324000290</v>
      </c>
      <c r="B62" s="20" t="s">
        <v>105</v>
      </c>
      <c r="C62" s="23"/>
      <c r="D62" s="23"/>
      <c r="E62" s="23"/>
      <c r="F62" s="23">
        <v>-180000</v>
      </c>
      <c r="G62" t="s">
        <v>496</v>
      </c>
    </row>
    <row r="63" spans="1:7">
      <c r="A63" s="19">
        <v>1328200420</v>
      </c>
      <c r="B63" s="20" t="s">
        <v>106</v>
      </c>
      <c r="C63" s="23">
        <v>0</v>
      </c>
      <c r="D63" s="23">
        <v>-7125</v>
      </c>
      <c r="E63" s="23">
        <f t="shared" ref="E63:E70" si="3">D63/10*12</f>
        <v>-8550</v>
      </c>
      <c r="F63" s="23">
        <f>E63</f>
        <v>-8550</v>
      </c>
    </row>
    <row r="64" spans="1:7">
      <c r="A64" s="19">
        <v>1328200920</v>
      </c>
      <c r="B64" s="20" t="s">
        <v>107</v>
      </c>
      <c r="C64" s="23">
        <v>-90000</v>
      </c>
      <c r="D64" s="23">
        <v>0</v>
      </c>
      <c r="E64" s="23">
        <f t="shared" si="3"/>
        <v>0</v>
      </c>
      <c r="F64" s="23">
        <v>-120000</v>
      </c>
    </row>
    <row r="65" spans="1:6">
      <c r="A65" s="19">
        <v>1328210920</v>
      </c>
      <c r="B65" s="20" t="s">
        <v>108</v>
      </c>
      <c r="C65" s="23">
        <v>-18000</v>
      </c>
      <c r="D65" s="23">
        <v>0</v>
      </c>
      <c r="E65" s="23">
        <f t="shared" si="3"/>
        <v>0</v>
      </c>
      <c r="F65" s="23">
        <v>-18000</v>
      </c>
    </row>
    <row r="66" spans="1:6">
      <c r="A66" s="19">
        <v>1328300920</v>
      </c>
      <c r="B66" s="20" t="s">
        <v>109</v>
      </c>
      <c r="C66" s="23">
        <v>-15000</v>
      </c>
      <c r="D66" s="23">
        <v>0</v>
      </c>
      <c r="E66" s="23">
        <f t="shared" si="3"/>
        <v>0</v>
      </c>
      <c r="F66" s="23">
        <v>-15000</v>
      </c>
    </row>
    <row r="67" spans="1:6">
      <c r="A67" s="19">
        <v>1328301920</v>
      </c>
      <c r="B67" s="20" t="s">
        <v>110</v>
      </c>
      <c r="C67" s="23">
        <v>-260000</v>
      </c>
      <c r="D67" s="23">
        <v>-194049</v>
      </c>
      <c r="E67" s="23">
        <f t="shared" si="3"/>
        <v>-232858.80000000002</v>
      </c>
      <c r="F67" s="23">
        <v>0</v>
      </c>
    </row>
    <row r="68" spans="1:6">
      <c r="A68" s="19">
        <v>1328310920</v>
      </c>
      <c r="B68" s="20" t="s">
        <v>111</v>
      </c>
      <c r="C68" s="23">
        <v>-17466</v>
      </c>
      <c r="D68" s="23">
        <v>0</v>
      </c>
      <c r="E68" s="23">
        <f t="shared" si="3"/>
        <v>0</v>
      </c>
      <c r="F68" s="23">
        <v>0</v>
      </c>
    </row>
    <row r="69" spans="1:6">
      <c r="A69" s="19">
        <v>1328400420</v>
      </c>
      <c r="B69" s="20" t="s">
        <v>112</v>
      </c>
      <c r="C69" s="23">
        <v>0</v>
      </c>
      <c r="D69" s="23">
        <v>-25595.75</v>
      </c>
      <c r="E69" s="23">
        <f t="shared" si="3"/>
        <v>-30714.899999999998</v>
      </c>
      <c r="F69" s="23">
        <f>E69</f>
        <v>-30714.899999999998</v>
      </c>
    </row>
    <row r="70" spans="1:6">
      <c r="A70" s="19">
        <v>1329200920</v>
      </c>
      <c r="B70" s="20" t="s">
        <v>113</v>
      </c>
      <c r="C70" s="23">
        <v>-125000</v>
      </c>
      <c r="D70" s="23">
        <v>-61500</v>
      </c>
      <c r="E70" s="23">
        <f t="shared" si="3"/>
        <v>-73800</v>
      </c>
      <c r="F70" s="23">
        <v>-125000</v>
      </c>
    </row>
    <row r="71" spans="1:6">
      <c r="A71" s="19">
        <v>1341000930</v>
      </c>
      <c r="B71" s="20" t="s">
        <v>114</v>
      </c>
      <c r="C71" s="23">
        <v>-620000</v>
      </c>
      <c r="D71" s="23">
        <v>-487318</v>
      </c>
      <c r="E71" s="23">
        <f>-584782-30000</f>
        <v>-614782</v>
      </c>
      <c r="F71" s="23">
        <f>'[1]רווחה הכנס-הוצ'!H2</f>
        <v>-686000</v>
      </c>
    </row>
    <row r="72" spans="1:6">
      <c r="A72" s="19">
        <v>1341010930</v>
      </c>
      <c r="B72" s="20" t="s">
        <v>115</v>
      </c>
      <c r="C72" s="23">
        <v>-10000</v>
      </c>
      <c r="D72" s="23">
        <v>-6375</v>
      </c>
      <c r="E72" s="23">
        <v>-7650</v>
      </c>
      <c r="F72" s="23">
        <f>'[1]רווחה הכנס-הוצ'!H3</f>
        <v>-7728.03</v>
      </c>
    </row>
    <row r="73" spans="1:6">
      <c r="A73" s="19">
        <v>1341120930</v>
      </c>
      <c r="B73" s="20" t="s">
        <v>116</v>
      </c>
      <c r="C73" s="23">
        <v>-24000</v>
      </c>
      <c r="D73" s="23">
        <v>-46572</v>
      </c>
      <c r="E73" s="23">
        <v>-55886</v>
      </c>
      <c r="F73" s="23">
        <f>'[1]רווחה הכנס-הוצ'!H4</f>
        <v>-57562.58</v>
      </c>
    </row>
    <row r="74" spans="1:6">
      <c r="A74" s="19">
        <v>1342000930</v>
      </c>
      <c r="B74" s="20" t="s">
        <v>117</v>
      </c>
      <c r="C74" s="23">
        <v>-238000</v>
      </c>
      <c r="D74" s="23">
        <v>0</v>
      </c>
      <c r="E74" s="23">
        <v>0</v>
      </c>
      <c r="F74" s="23">
        <f>-([1]הוצאות!H187+[1]הוצאות!H188)</f>
        <v>-512657</v>
      </c>
    </row>
    <row r="75" spans="1:6">
      <c r="A75" s="19">
        <v>1342200930</v>
      </c>
      <c r="B75" s="20" t="s">
        <v>118</v>
      </c>
      <c r="C75" s="23">
        <v>-22000</v>
      </c>
      <c r="D75" s="23">
        <v>-13916</v>
      </c>
      <c r="E75" s="23">
        <f>-16699-40000</f>
        <v>-56699</v>
      </c>
      <c r="F75" s="23">
        <f>'[1]רווחה הכנס-הוצ'!H6</f>
        <v>-60000</v>
      </c>
    </row>
    <row r="76" spans="1:6">
      <c r="A76" s="19">
        <v>1342220930</v>
      </c>
      <c r="B76" s="20" t="s">
        <v>119</v>
      </c>
      <c r="C76" s="23">
        <v>-15000</v>
      </c>
      <c r="D76" s="23">
        <v>-14333</v>
      </c>
      <c r="E76" s="23">
        <v>-17200</v>
      </c>
      <c r="F76" s="23">
        <f>'[1]רווחה הכנס-הוצ'!H7</f>
        <v>-21000</v>
      </c>
    </row>
    <row r="77" spans="1:6">
      <c r="A77" s="19">
        <v>1342400930</v>
      </c>
      <c r="B77" s="20" t="s">
        <v>120</v>
      </c>
      <c r="C77" s="23">
        <v>-5000</v>
      </c>
      <c r="D77" s="23">
        <v>0</v>
      </c>
      <c r="E77" s="23">
        <v>0</v>
      </c>
      <c r="F77" s="23">
        <f>'[1]רווחה הכנס-הוצ'!H8</f>
        <v>-5952.75</v>
      </c>
    </row>
    <row r="78" spans="1:6">
      <c r="A78" s="19">
        <v>1342401930</v>
      </c>
      <c r="B78" s="20" t="s">
        <v>121</v>
      </c>
      <c r="C78" s="23">
        <v>-18000</v>
      </c>
      <c r="D78" s="23">
        <v>-1089</v>
      </c>
      <c r="E78" s="23">
        <v>-1307</v>
      </c>
      <c r="F78" s="23">
        <f>'[1]רווחה הכנס-הוצ'!H9</f>
        <v>-1500</v>
      </c>
    </row>
    <row r="79" spans="1:6">
      <c r="A79" s="19">
        <v>1343500930</v>
      </c>
      <c r="B79" s="20" t="s">
        <v>122</v>
      </c>
      <c r="C79" s="23">
        <v>-566000</v>
      </c>
      <c r="D79" s="23">
        <v>-39605</v>
      </c>
      <c r="E79" s="23">
        <f>-47526-230000-80000</f>
        <v>-357526</v>
      </c>
      <c r="F79" s="23">
        <f>'[1]רווחה הכנס-הוצ'!H10</f>
        <v>-391500</v>
      </c>
    </row>
    <row r="80" spans="1:6">
      <c r="A80" s="19">
        <v>1343510420</v>
      </c>
      <c r="B80" s="20" t="s">
        <v>123</v>
      </c>
      <c r="C80" s="23">
        <v>-5000</v>
      </c>
      <c r="D80" s="23">
        <v>-2254</v>
      </c>
      <c r="E80" s="23">
        <v>-2705</v>
      </c>
      <c r="F80" s="23">
        <v>-3000</v>
      </c>
    </row>
    <row r="81" spans="1:6">
      <c r="A81" s="19">
        <v>1343510930</v>
      </c>
      <c r="B81" s="20" t="s">
        <v>124</v>
      </c>
      <c r="C81" s="23">
        <v>-48000</v>
      </c>
      <c r="D81" s="23">
        <v>-38400</v>
      </c>
      <c r="E81" s="23">
        <v>-46080</v>
      </c>
      <c r="F81" s="23">
        <f>'[1]רווחה הכנס-הוצ'!H11</f>
        <v>-56000</v>
      </c>
    </row>
    <row r="82" spans="1:6">
      <c r="A82" s="19">
        <v>1343700930</v>
      </c>
      <c r="B82" s="20" t="s">
        <v>125</v>
      </c>
      <c r="C82" s="23">
        <v>-330000</v>
      </c>
      <c r="D82" s="23">
        <v>-177665</v>
      </c>
      <c r="E82" s="23">
        <v>-213198</v>
      </c>
      <c r="F82" s="23">
        <f>'[1]רווחה הכנס-הוצ'!H12</f>
        <v>-300000</v>
      </c>
    </row>
    <row r="83" spans="1:6">
      <c r="A83" s="19">
        <v>1343800930</v>
      </c>
      <c r="B83" s="20" t="s">
        <v>126</v>
      </c>
      <c r="C83" s="23">
        <v>-150000</v>
      </c>
      <c r="D83" s="23">
        <v>-3586</v>
      </c>
      <c r="E83" s="23">
        <v>-4303</v>
      </c>
      <c r="F83" s="23">
        <f>'[1]רווחה הכנס-הוצ'!H13</f>
        <v>-6000</v>
      </c>
    </row>
    <row r="84" spans="1:6">
      <c r="A84" s="19">
        <v>1343900930</v>
      </c>
      <c r="B84" s="20" t="s">
        <v>127</v>
      </c>
      <c r="C84" s="23">
        <v>-220000</v>
      </c>
      <c r="D84" s="23">
        <v>-291033</v>
      </c>
      <c r="E84" s="23">
        <v>-349240</v>
      </c>
      <c r="F84" s="23">
        <f>'[1]רווחה הכנס-הוצ'!H14</f>
        <v>-360000</v>
      </c>
    </row>
    <row r="85" spans="1:6">
      <c r="A85" s="19">
        <v>1344400410</v>
      </c>
      <c r="B85" s="20" t="s">
        <v>128</v>
      </c>
      <c r="C85" s="23">
        <v>-3000</v>
      </c>
      <c r="D85" s="23">
        <v>-3000</v>
      </c>
      <c r="E85" s="23">
        <v>-3600</v>
      </c>
      <c r="F85" s="23">
        <v>-4000</v>
      </c>
    </row>
    <row r="86" spans="1:6">
      <c r="A86" s="19">
        <v>1344400930</v>
      </c>
      <c r="B86" s="20" t="s">
        <v>129</v>
      </c>
      <c r="C86" s="23">
        <v>-27000</v>
      </c>
      <c r="D86" s="23">
        <v>-10849</v>
      </c>
      <c r="E86" s="23">
        <v>-13019</v>
      </c>
      <c r="F86" s="23">
        <f>'[1]רווחה הכנס-הוצ'!H15</f>
        <v>-10500</v>
      </c>
    </row>
    <row r="87" spans="1:6">
      <c r="A87" s="19">
        <v>1344550930</v>
      </c>
      <c r="B87" s="20" t="s">
        <v>130</v>
      </c>
      <c r="C87" s="23">
        <v>-390000</v>
      </c>
      <c r="D87" s="23">
        <v>-283334</v>
      </c>
      <c r="E87" s="23">
        <v>-340001</v>
      </c>
      <c r="F87" s="23">
        <f>'[1]רווחה הכנס-הוצ'!H16</f>
        <v>-372750</v>
      </c>
    </row>
    <row r="88" spans="1:6">
      <c r="A88" s="19">
        <v>1345100930</v>
      </c>
      <c r="B88" s="20" t="s">
        <v>131</v>
      </c>
      <c r="C88" s="23">
        <v>-530000</v>
      </c>
      <c r="D88" s="23">
        <v>-534097</v>
      </c>
      <c r="E88" s="23">
        <v>-640916</v>
      </c>
      <c r="F88" s="23">
        <f>'[1]רווחה הכנס-הוצ'!H17</f>
        <v>-637500</v>
      </c>
    </row>
    <row r="89" spans="1:6">
      <c r="A89" s="19">
        <v>1345210930</v>
      </c>
      <c r="B89" s="20" t="s">
        <v>132</v>
      </c>
      <c r="C89" s="23">
        <v>0</v>
      </c>
      <c r="D89" s="23">
        <v>-1854</v>
      </c>
      <c r="E89" s="23">
        <v>-2225</v>
      </c>
      <c r="F89" s="23">
        <f>'[1]רווחה הכנס-הוצ'!H18</f>
        <v>-6750</v>
      </c>
    </row>
    <row r="90" spans="1:6">
      <c r="A90" s="19">
        <v>1345220930</v>
      </c>
      <c r="B90" s="20" t="s">
        <v>133</v>
      </c>
      <c r="C90" s="23">
        <v>-217000</v>
      </c>
      <c r="D90" s="23">
        <v>-207074</v>
      </c>
      <c r="E90" s="23">
        <v>-248489</v>
      </c>
      <c r="F90" s="23">
        <f>'[1]רווחה הכנס-הוצ'!H19</f>
        <v>-287250</v>
      </c>
    </row>
    <row r="91" spans="1:6">
      <c r="A91" s="19">
        <v>1345230930</v>
      </c>
      <c r="B91" s="20" t="s">
        <v>134</v>
      </c>
      <c r="C91" s="23">
        <v>-32000</v>
      </c>
      <c r="D91" s="23">
        <v>-46957</v>
      </c>
      <c r="E91" s="23">
        <v>-56348</v>
      </c>
      <c r="F91" s="23">
        <f>'[1]רווחה הכנס-הוצ'!H20</f>
        <v>-63000</v>
      </c>
    </row>
    <row r="92" spans="1:6">
      <c r="A92" s="19">
        <v>1345300930</v>
      </c>
      <c r="B92" s="20" t="s">
        <v>135</v>
      </c>
      <c r="C92" s="23">
        <v>-210000</v>
      </c>
      <c r="D92" s="23">
        <v>-153861</v>
      </c>
      <c r="E92" s="23">
        <f>-184633-70000</f>
        <v>-254633</v>
      </c>
      <c r="F92" s="23">
        <f>'[1]רווחה הכנס-הוצ'!H21</f>
        <v>-420750</v>
      </c>
    </row>
    <row r="93" spans="1:6">
      <c r="A93" s="19">
        <v>1346300930</v>
      </c>
      <c r="B93" s="20" t="s">
        <v>136</v>
      </c>
      <c r="C93" s="23">
        <v>0</v>
      </c>
      <c r="D93" s="23">
        <v>-385</v>
      </c>
      <c r="E93" s="23">
        <v>-462</v>
      </c>
      <c r="F93" s="23">
        <f>'[1]רווחה הכנס-הוצ'!H22</f>
        <v>-2494.5</v>
      </c>
    </row>
    <row r="94" spans="1:6">
      <c r="A94" s="19">
        <v>1346500930</v>
      </c>
      <c r="B94" s="20" t="s">
        <v>137</v>
      </c>
      <c r="C94" s="23">
        <v>0</v>
      </c>
      <c r="D94" s="23">
        <v>-78326</v>
      </c>
      <c r="E94" s="23">
        <v>-93991</v>
      </c>
      <c r="F94" s="23">
        <f>'[1]רווחה הכנס-הוצ'!H23</f>
        <v>-93991.5</v>
      </c>
    </row>
    <row r="95" spans="1:6">
      <c r="A95" s="19">
        <v>1346600930</v>
      </c>
      <c r="B95" s="20" t="s">
        <v>138</v>
      </c>
      <c r="C95" s="23">
        <v>-18000</v>
      </c>
      <c r="D95" s="23">
        <f>-5783-18755</f>
        <v>-24538</v>
      </c>
      <c r="E95" s="23">
        <v>-29446</v>
      </c>
      <c r="F95" s="23">
        <f>'[1]רווחה הכנס-הוצ'!H24</f>
        <v>-32765.25</v>
      </c>
    </row>
    <row r="96" spans="1:6">
      <c r="A96" s="19">
        <v>1346700930</v>
      </c>
      <c r="B96" s="20" t="s">
        <v>139</v>
      </c>
      <c r="C96" s="23">
        <v>-160000</v>
      </c>
      <c r="D96" s="23">
        <f>-35160-40831</f>
        <v>-75991</v>
      </c>
      <c r="E96" s="23">
        <v>-91189</v>
      </c>
      <c r="F96" s="23">
        <f>'[1]רווחה הכנס-הוצ'!H25</f>
        <v>-121500</v>
      </c>
    </row>
    <row r="97" spans="1:6">
      <c r="A97" s="19">
        <v>1346800930</v>
      </c>
      <c r="B97" s="20" t="s">
        <v>140</v>
      </c>
      <c r="C97" s="23">
        <v>-65000</v>
      </c>
      <c r="D97" s="23">
        <v>-39280</v>
      </c>
      <c r="E97" s="23">
        <v>-47136</v>
      </c>
      <c r="F97" s="23">
        <f>'[1]רווחה הכנס-הוצ'!H26</f>
        <v>-49242</v>
      </c>
    </row>
    <row r="98" spans="1:6">
      <c r="A98" s="19">
        <v>1346801930</v>
      </c>
      <c r="B98" s="20" t="s">
        <v>141</v>
      </c>
      <c r="C98" s="23">
        <v>-24000</v>
      </c>
      <c r="D98" s="23">
        <v>0</v>
      </c>
      <c r="E98" s="23">
        <v>0</v>
      </c>
      <c r="F98" s="23">
        <f>'[1]רווחה הכנס-הוצ'!H27</f>
        <v>-3750</v>
      </c>
    </row>
    <row r="99" spans="1:6">
      <c r="A99" s="19">
        <v>1347100930</v>
      </c>
      <c r="B99" s="20" t="s">
        <v>142</v>
      </c>
      <c r="C99" s="23">
        <v>-67500</v>
      </c>
      <c r="D99" s="23">
        <f>-29556-34013</f>
        <v>-63569</v>
      </c>
      <c r="E99" s="23">
        <v>-76283</v>
      </c>
      <c r="F99" s="23">
        <f>'[1]רווחה הכנס-הוצ'!H28</f>
        <v>-77061.086599999995</v>
      </c>
    </row>
    <row r="100" spans="1:6">
      <c r="A100" s="19">
        <v>1348000930</v>
      </c>
      <c r="B100" s="20" t="s">
        <v>143</v>
      </c>
      <c r="C100" s="23">
        <v>0</v>
      </c>
      <c r="D100" s="23">
        <v>0</v>
      </c>
      <c r="E100" s="23">
        <v>0</v>
      </c>
      <c r="F100" s="23">
        <f>'[1]רווחה הכנס-הוצ'!H29</f>
        <v>-163800</v>
      </c>
    </row>
    <row r="101" spans="1:6">
      <c r="A101" s="19">
        <v>1348100930</v>
      </c>
      <c r="B101" s="20" t="s">
        <v>144</v>
      </c>
      <c r="C101" s="23">
        <v>0</v>
      </c>
      <c r="D101" s="23">
        <v>0</v>
      </c>
      <c r="E101" s="23">
        <v>0</v>
      </c>
      <c r="F101" s="23">
        <f>'[1]רווחה הכנס-הוצ'!H30</f>
        <v>-248500</v>
      </c>
    </row>
    <row r="102" spans="1:6">
      <c r="A102" s="19">
        <v>1413000210</v>
      </c>
      <c r="B102" s="20" t="s">
        <v>145</v>
      </c>
      <c r="C102" s="23">
        <v>-50000</v>
      </c>
      <c r="D102" s="23">
        <v>0</v>
      </c>
      <c r="E102" s="23">
        <f t="shared" ref="E102:E108" si="4">D102</f>
        <v>0</v>
      </c>
      <c r="F102" s="23">
        <f t="shared" ref="F102:F107" si="5">E102</f>
        <v>0</v>
      </c>
    </row>
    <row r="103" spans="1:6">
      <c r="A103" s="19">
        <v>1413112210</v>
      </c>
      <c r="B103" s="20" t="s">
        <v>146</v>
      </c>
      <c r="C103" s="23">
        <v>0</v>
      </c>
      <c r="D103" s="23">
        <v>-995</v>
      </c>
      <c r="E103" s="23">
        <f t="shared" si="4"/>
        <v>-995</v>
      </c>
      <c r="F103" s="23">
        <f t="shared" si="5"/>
        <v>-995</v>
      </c>
    </row>
    <row r="104" spans="1:6">
      <c r="A104" s="19">
        <v>1413990210</v>
      </c>
      <c r="B104" s="20" t="s">
        <v>147</v>
      </c>
      <c r="C104" s="23">
        <v>0</v>
      </c>
      <c r="D104" s="23">
        <v>-10610</v>
      </c>
      <c r="E104" s="23">
        <f t="shared" si="4"/>
        <v>-10610</v>
      </c>
      <c r="F104" s="23">
        <f t="shared" si="5"/>
        <v>-10610</v>
      </c>
    </row>
    <row r="105" spans="1:6">
      <c r="A105" s="19">
        <v>1439000490</v>
      </c>
      <c r="B105" s="20" t="s">
        <v>148</v>
      </c>
      <c r="C105" s="23">
        <v>-28000</v>
      </c>
      <c r="D105" s="23">
        <v>-24585</v>
      </c>
      <c r="E105" s="23">
        <f t="shared" si="4"/>
        <v>-24585</v>
      </c>
      <c r="F105" s="23">
        <v>-28000</v>
      </c>
    </row>
    <row r="106" spans="1:6">
      <c r="A106" s="19">
        <v>1472000210</v>
      </c>
      <c r="B106" s="20" t="s">
        <v>149</v>
      </c>
      <c r="C106" s="23">
        <v>-10000</v>
      </c>
      <c r="D106" s="23">
        <v>-267</v>
      </c>
      <c r="E106" s="23">
        <f t="shared" si="4"/>
        <v>-267</v>
      </c>
      <c r="F106" s="23">
        <v>-10000</v>
      </c>
    </row>
    <row r="107" spans="1:6">
      <c r="A107" s="19">
        <v>1472110220</v>
      </c>
      <c r="B107" s="20" t="s">
        <v>150</v>
      </c>
      <c r="C107" s="23">
        <v>-5000</v>
      </c>
      <c r="D107" s="23">
        <v>0</v>
      </c>
      <c r="E107" s="23">
        <f t="shared" si="4"/>
        <v>0</v>
      </c>
      <c r="F107" s="23">
        <f t="shared" si="5"/>
        <v>0</v>
      </c>
    </row>
    <row r="108" spans="1:6">
      <c r="A108" s="19">
        <v>1472112220</v>
      </c>
      <c r="B108" s="20" t="s">
        <v>151</v>
      </c>
      <c r="C108" s="23">
        <v>0</v>
      </c>
      <c r="D108" s="23">
        <v>-132.38</v>
      </c>
      <c r="E108" s="23">
        <f t="shared" si="4"/>
        <v>-132.38</v>
      </c>
      <c r="F108" s="23">
        <v>0</v>
      </c>
    </row>
    <row r="109" spans="1:6">
      <c r="A109" s="19">
        <v>1472990990</v>
      </c>
      <c r="B109" s="20" t="s">
        <v>152</v>
      </c>
      <c r="C109" s="23">
        <v>0</v>
      </c>
      <c r="D109" s="23">
        <v>0</v>
      </c>
      <c r="E109" s="23">
        <v>0</v>
      </c>
      <c r="F109" s="23">
        <v>-30000</v>
      </c>
    </row>
    <row r="110" spans="1:6">
      <c r="A110" s="19">
        <v>1472990220</v>
      </c>
      <c r="B110" s="20" t="s">
        <v>153</v>
      </c>
      <c r="C110" s="23">
        <v>0</v>
      </c>
      <c r="D110" s="23">
        <v>-1684.44</v>
      </c>
      <c r="E110" s="23">
        <f t="shared" ref="E110:E115" si="6">D110</f>
        <v>-1684.44</v>
      </c>
      <c r="F110" s="23">
        <v>-2000</v>
      </c>
    </row>
    <row r="111" spans="1:6">
      <c r="A111" s="19">
        <v>1511000490</v>
      </c>
      <c r="B111" s="20" t="s">
        <v>154</v>
      </c>
      <c r="C111" s="23">
        <v>0</v>
      </c>
      <c r="D111" s="23">
        <v>-532.54999999999995</v>
      </c>
      <c r="E111" s="23">
        <f t="shared" si="6"/>
        <v>-532.54999999999995</v>
      </c>
      <c r="F111" s="23">
        <v>0</v>
      </c>
    </row>
    <row r="112" spans="1:6">
      <c r="A112" s="19">
        <v>1513000690</v>
      </c>
      <c r="B112" s="20" t="s">
        <v>155</v>
      </c>
      <c r="C112" s="23">
        <v>0</v>
      </c>
      <c r="D112" s="23">
        <v>-28146.43</v>
      </c>
      <c r="E112" s="23">
        <f t="shared" si="6"/>
        <v>-28146.43</v>
      </c>
      <c r="F112" s="23">
        <v>0</v>
      </c>
    </row>
    <row r="113" spans="1:6">
      <c r="A113" s="19">
        <v>1513000990</v>
      </c>
      <c r="B113" s="20" t="s">
        <v>156</v>
      </c>
      <c r="C113" s="23">
        <v>-450000</v>
      </c>
      <c r="D113" s="23">
        <v>-231802.92</v>
      </c>
      <c r="E113" s="23">
        <f t="shared" si="6"/>
        <v>-231802.92</v>
      </c>
      <c r="F113" s="23">
        <f>-312000-130000</f>
        <v>-442000</v>
      </c>
    </row>
    <row r="114" spans="1:6">
      <c r="A114" s="19">
        <v>1591900810</v>
      </c>
      <c r="B114" s="20" t="s">
        <v>157</v>
      </c>
      <c r="C114" s="23">
        <v>0</v>
      </c>
      <c r="D114" s="23">
        <v>-69600</v>
      </c>
      <c r="E114" s="23">
        <f t="shared" si="6"/>
        <v>-69600</v>
      </c>
      <c r="F114" s="23">
        <f>E114-100000-3861-100000-60000-35000</f>
        <v>-368461</v>
      </c>
    </row>
    <row r="115" spans="1:6">
      <c r="A115" s="19">
        <v>1594200290</v>
      </c>
      <c r="B115" s="20" t="s">
        <v>158</v>
      </c>
      <c r="C115" s="23">
        <v>0</v>
      </c>
      <c r="D115" s="23">
        <v>-309.52999999999997</v>
      </c>
      <c r="E115" s="23">
        <f t="shared" si="6"/>
        <v>-309.52999999999997</v>
      </c>
      <c r="F115" s="23">
        <v>0</v>
      </c>
    </row>
    <row r="116" spans="1:6">
      <c r="A116" s="19"/>
      <c r="B116" s="20"/>
      <c r="C116" s="23"/>
      <c r="D116" s="23"/>
      <c r="E116" s="23"/>
      <c r="F116" s="23"/>
    </row>
    <row r="117" spans="1:6" ht="15" thickBot="1">
      <c r="A117" s="27"/>
      <c r="B117" s="28"/>
      <c r="C117" s="30">
        <f>SUM(C2:C116)</f>
        <v>-43109901</v>
      </c>
      <c r="D117" s="30">
        <f>SUM(D2:D116)</f>
        <v>-34781848.43</v>
      </c>
      <c r="E117" s="30">
        <f>SUM(E2:E116)</f>
        <v>-43004980.117999986</v>
      </c>
      <c r="F117" s="30">
        <f>SUM(F2:F116)</f>
        <v>-47042462.596599996</v>
      </c>
    </row>
    <row r="118" spans="1:6">
      <c r="A118" s="7"/>
      <c r="B118" s="7"/>
      <c r="C118" s="13"/>
      <c r="D118" s="13"/>
      <c r="E118" s="13"/>
      <c r="F118" s="7"/>
    </row>
    <row r="119" spans="1:6">
      <c r="A119" s="7"/>
      <c r="B119" s="7"/>
      <c r="C119" s="13"/>
      <c r="D119" s="13"/>
      <c r="E119" s="13"/>
      <c r="F119" s="7"/>
    </row>
    <row r="120" spans="1:6" ht="15" thickBot="1"/>
    <row r="121" spans="1:6" ht="28.5">
      <c r="A121" s="8"/>
      <c r="B121" s="1" t="s">
        <v>0</v>
      </c>
      <c r="C121" s="2" t="s">
        <v>1</v>
      </c>
      <c r="D121" s="2" t="s">
        <v>2</v>
      </c>
      <c r="E121" s="2" t="s">
        <v>3</v>
      </c>
      <c r="F121" s="2" t="s">
        <v>4</v>
      </c>
    </row>
    <row r="122" spans="1:6">
      <c r="A122" s="9"/>
      <c r="B122" s="3" t="s">
        <v>5</v>
      </c>
      <c r="C122" s="4">
        <f>C2+C3+C4+C5+C6+C7+C8+C9+C10+C11+C12</f>
        <v>-5700000</v>
      </c>
      <c r="D122" s="4">
        <f>D2+D3+D4+D5+D6+D7+D8+D9+D10+D11+D12</f>
        <v>-4563820.2</v>
      </c>
      <c r="E122" s="4">
        <f>E2+E3+E4+E5+E6+E7+E8+E9+E10+E11+E12</f>
        <v>-5326104</v>
      </c>
      <c r="F122" s="4">
        <f>F2+F3+F4+F5+F6+F7+F8+F9+F10+F11+F12</f>
        <v>-5750000</v>
      </c>
    </row>
    <row r="123" spans="1:6">
      <c r="A123" s="9"/>
      <c r="B123" s="3" t="s">
        <v>6</v>
      </c>
      <c r="C123" s="4">
        <f>C102+C103+C104</f>
        <v>-50000</v>
      </c>
      <c r="D123" s="4">
        <f t="shared" ref="D123:F123" si="7">D102+D103+D104</f>
        <v>-11605</v>
      </c>
      <c r="E123" s="4">
        <f t="shared" si="7"/>
        <v>-11605</v>
      </c>
      <c r="F123" s="4">
        <f t="shared" si="7"/>
        <v>-11605</v>
      </c>
    </row>
    <row r="124" spans="1:6">
      <c r="A124" s="9"/>
      <c r="B124" s="3" t="s">
        <v>7</v>
      </c>
      <c r="C124" s="4">
        <f>C33+C37+C38+C39+C41+C43+C45+C46+C52+C60+C63+C69</f>
        <v>-302500</v>
      </c>
      <c r="D124" s="4">
        <f>D33+D37+D38+D39+D41+D43+D45+D46+D52+D60+D63+D69</f>
        <v>-203772.75</v>
      </c>
      <c r="E124" s="4">
        <f>E33+E37+E38+E39+E41+E43+E45+E46+E52+E60+E63+E69</f>
        <v>-244527.3</v>
      </c>
      <c r="F124" s="4">
        <f>F33+F37+F38+F39+F41+F43+F45+F46+F52+F60+F63+F69</f>
        <v>-257264.9</v>
      </c>
    </row>
    <row r="125" spans="1:6">
      <c r="A125" s="9"/>
      <c r="B125" s="3" t="s">
        <v>8</v>
      </c>
      <c r="C125" s="4">
        <f>C80+C85</f>
        <v>-8000</v>
      </c>
      <c r="D125" s="4">
        <f>D80+D85</f>
        <v>-5254</v>
      </c>
      <c r="E125" s="4">
        <f>E80+E85</f>
        <v>-6305</v>
      </c>
      <c r="F125" s="4">
        <f>F80+F85</f>
        <v>-7000</v>
      </c>
    </row>
    <row r="126" spans="1:6">
      <c r="A126" s="9"/>
      <c r="B126" s="3" t="s">
        <v>9</v>
      </c>
      <c r="C126" s="4">
        <f>C14+C15+C21+C22+C23+C24+C25+C26+C27+C29+C30+C32+C105+C106+C107+C108+C110+C111</f>
        <v>-630500</v>
      </c>
      <c r="D126" s="4">
        <f>D14+D15+D21+D22+D23+D24+D25+D26+D27+D29+D30+D32+D105+D106+D107+D108+D110+D111</f>
        <v>-269627.37</v>
      </c>
      <c r="E126" s="4">
        <f>E14+E15+E21+E22+E23+E24+E25+E26+E27+E29+E30+E32+E105+E106+E107+E108+E110+E111</f>
        <v>-309201.37</v>
      </c>
      <c r="F126" s="4">
        <f>F14+F15+F21+F22+F23+F24+F25+F26+F27+F29+F30+F32+F105+F106+F107+F108+F110+F111+F62</f>
        <v>-833000</v>
      </c>
    </row>
    <row r="127" spans="1:6">
      <c r="A127" s="9"/>
      <c r="B127" s="3" t="s">
        <v>10</v>
      </c>
      <c r="C127" s="4">
        <f>SUBTOTAL(9,C122:C126)</f>
        <v>-6691000</v>
      </c>
      <c r="D127" s="4">
        <f>SUBTOTAL(9,D122:D126)</f>
        <v>-5054079.32</v>
      </c>
      <c r="E127" s="4">
        <f>SUBTOTAL(9,E122:E126)</f>
        <v>-5897742.6699999999</v>
      </c>
      <c r="F127" s="4">
        <f>SUBTOTAL(9,F122:F126)</f>
        <v>-6858869.9000000004</v>
      </c>
    </row>
    <row r="128" spans="1:6">
      <c r="A128" s="9"/>
      <c r="B128" s="3"/>
      <c r="C128" s="4"/>
      <c r="D128" s="4"/>
      <c r="E128" s="4"/>
      <c r="F128" s="4"/>
    </row>
    <row r="129" spans="1:6">
      <c r="A129" s="9"/>
      <c r="B129" s="3" t="s">
        <v>11</v>
      </c>
      <c r="C129" s="4">
        <f>C34+C35+C36+C40+C42+C44+C47+C48+C49+C50+C51+C53+C54+C55+C56+C57+C58+C59+C61+C64+C65+C66+C67+C68+C70</f>
        <v>-16712466</v>
      </c>
      <c r="D129" s="4">
        <f>D34+D35+D36+D40+D42+D44+D47+D48+D49+D50+D51+D53+D54+D55+D56+D57+D58+D59+D61+D64+D65+D66+D67+D68+D70</f>
        <v>-14759721.640000001</v>
      </c>
      <c r="E129" s="4">
        <f>E34+E35+E36+E40+E42+E44+E47+E48+E49+E50+E51+E53+E54+E55+E56+E57+E58+E59+E61+E64+E65+E66+E67+E68+E70</f>
        <v>-17767342.568000004</v>
      </c>
      <c r="F129" s="4">
        <f>F34+F35+F36+F40+F42+F44+F47+F48+F49+F50+F51+F53+F54+F55+F56+F57+F58+F59+F61+F64+F65+F66+F67+F68+F70</f>
        <v>-18430400</v>
      </c>
    </row>
    <row r="130" spans="1:6">
      <c r="A130" s="9"/>
      <c r="B130" s="3" t="s">
        <v>12</v>
      </c>
      <c r="C130" s="4">
        <f>C71+C72+C73+C74+C75+C76+C77+C78+C79+C81+C82+C83+C84+C86+C87+C88+C89+C90+C91+C92+C93+C94+C95+C96+C97+C98+C99+C100+C101</f>
        <v>-4006500</v>
      </c>
      <c r="D130" s="4">
        <f>D71+D72+D73+D74+D75+D76+D77+D78+D79+D81+D82+D83+D84+D86+D87+D88+D89+D90+D91+D92+D93+D94+D95+D96+D97+D98+D99+D100+D101</f>
        <v>-2640007</v>
      </c>
      <c r="E130" s="4">
        <f>E71+E72+E73+E74+E75+E76+E77+E78+E79+E81+E82+E83+E84+E86+E87+E88+E89+E90+E91+E92+E93+E94+E95+E96+E97+E98+E99+E100+E101</f>
        <v>-3618009</v>
      </c>
      <c r="F130" s="4">
        <f>F71+F72+F73+F74+F75+F76+F77+F78+F79+F81+F82+F83+F84+F86+F87+F88+F89+F90+F91+F92+F93+F94+F95+F96+F97+F98+F99+F100+F101</f>
        <v>-5057504.6965999994</v>
      </c>
    </row>
    <row r="131" spans="1:6">
      <c r="A131" s="9"/>
      <c r="B131" s="3" t="s">
        <v>13</v>
      </c>
      <c r="C131" s="4">
        <f>C28+C31+C113+C109</f>
        <v>-450000</v>
      </c>
      <c r="D131" s="4">
        <f>D28+D31+D113+D109</f>
        <v>-231802.92</v>
      </c>
      <c r="E131" s="4">
        <f>E28+E31+E113+E109</f>
        <v>-231802.92</v>
      </c>
      <c r="F131" s="4">
        <f>F28+F31+F113+F109</f>
        <v>-592000</v>
      </c>
    </row>
    <row r="132" spans="1:6">
      <c r="A132" s="9"/>
      <c r="B132" s="3" t="s">
        <v>14</v>
      </c>
      <c r="C132" s="4">
        <f t="shared" ref="C132:F133" si="8">C17+C19</f>
        <v>-13177027</v>
      </c>
      <c r="D132" s="4">
        <f t="shared" si="8"/>
        <v>-10031414.689999999</v>
      </c>
      <c r="E132" s="4">
        <f t="shared" si="8"/>
        <v>-13177027</v>
      </c>
      <c r="F132" s="4">
        <f t="shared" si="8"/>
        <v>-13177027</v>
      </c>
    </row>
    <row r="133" spans="1:6">
      <c r="A133" s="9"/>
      <c r="B133" s="3" t="s">
        <v>15</v>
      </c>
      <c r="C133" s="4">
        <f t="shared" si="8"/>
        <v>-72908</v>
      </c>
      <c r="D133" s="4">
        <f t="shared" si="8"/>
        <v>0</v>
      </c>
      <c r="E133" s="4">
        <f t="shared" si="8"/>
        <v>-15000</v>
      </c>
      <c r="F133" s="4">
        <f t="shared" si="8"/>
        <v>-128200</v>
      </c>
    </row>
    <row r="134" spans="1:6">
      <c r="A134" s="9"/>
      <c r="B134" s="3" t="s">
        <v>16</v>
      </c>
      <c r="C134" s="4">
        <f>C16+C112+C114+C115</f>
        <v>0</v>
      </c>
      <c r="D134" s="4">
        <f>D16+D112+D114+D115</f>
        <v>-240855.96</v>
      </c>
      <c r="E134" s="4">
        <f>E16+E112+E114+E115</f>
        <v>-298055.96000000002</v>
      </c>
      <c r="F134" s="4">
        <f>F16+F112+F114+F115</f>
        <v>-598461</v>
      </c>
    </row>
    <row r="135" spans="1:6">
      <c r="A135" s="9"/>
      <c r="B135" s="3"/>
      <c r="C135" s="4"/>
      <c r="D135" s="4"/>
      <c r="E135" s="4"/>
      <c r="F135" s="4"/>
    </row>
    <row r="136" spans="1:6" ht="28.5">
      <c r="A136" s="9"/>
      <c r="B136" s="5" t="s">
        <v>17</v>
      </c>
      <c r="C136" s="4">
        <f>C127+C129+C130+C131+C132+C133+C134</f>
        <v>-41109901</v>
      </c>
      <c r="D136" s="4">
        <f>D127+D129+D130+D131+D132+D133+D134</f>
        <v>-32957881.530000001</v>
      </c>
      <c r="E136" s="4">
        <f>E127+E129+E130+E131+E132+E133+E134</f>
        <v>-41004980.118000008</v>
      </c>
      <c r="F136" s="4">
        <f>F127+F129+F130+F131+F132+F133+F134</f>
        <v>-44842462.596599996</v>
      </c>
    </row>
    <row r="137" spans="1:6">
      <c r="A137" s="9"/>
      <c r="B137" s="3"/>
      <c r="C137" s="4"/>
      <c r="D137" s="4"/>
      <c r="E137" s="4"/>
      <c r="F137" s="4"/>
    </row>
    <row r="138" spans="1:6">
      <c r="A138" s="9"/>
      <c r="B138" s="3" t="s">
        <v>18</v>
      </c>
      <c r="C138" s="4"/>
      <c r="D138" s="4"/>
      <c r="E138" s="4"/>
      <c r="F138" s="4"/>
    </row>
    <row r="139" spans="1:6">
      <c r="A139" s="9"/>
      <c r="B139" s="3" t="s">
        <v>19</v>
      </c>
      <c r="C139" s="4"/>
      <c r="D139" s="4"/>
      <c r="E139" s="4"/>
      <c r="F139" s="4"/>
    </row>
    <row r="140" spans="1:6">
      <c r="A140" s="9"/>
      <c r="B140" s="3" t="s">
        <v>20</v>
      </c>
      <c r="C140" s="4">
        <f>C13</f>
        <v>-2000000</v>
      </c>
      <c r="D140" s="4">
        <f>D13</f>
        <v>-1823966.9</v>
      </c>
      <c r="E140" s="4">
        <f>E13</f>
        <v>-2000000</v>
      </c>
      <c r="F140" s="4">
        <f>F13</f>
        <v>-2200000</v>
      </c>
    </row>
    <row r="141" spans="1:6">
      <c r="A141" s="9"/>
      <c r="B141" s="3" t="s">
        <v>21</v>
      </c>
      <c r="C141" s="4"/>
      <c r="D141" s="4"/>
      <c r="E141" s="4"/>
      <c r="F141" s="4"/>
    </row>
    <row r="142" spans="1:6">
      <c r="A142" s="9"/>
      <c r="B142" s="3"/>
      <c r="C142" s="4"/>
      <c r="D142" s="4"/>
      <c r="E142" s="4"/>
      <c r="F142" s="4"/>
    </row>
    <row r="143" spans="1:6" ht="15.75" thickBot="1">
      <c r="A143" s="10"/>
      <c r="B143" s="6" t="s">
        <v>21</v>
      </c>
      <c r="C143" s="12">
        <f>C136+C138+C139+C140</f>
        <v>-43109901</v>
      </c>
      <c r="D143" s="12">
        <f>D136+D138+D139+D140</f>
        <v>-34781848.43</v>
      </c>
      <c r="E143" s="12">
        <f>E136+E138+E139+E140</f>
        <v>-43004980.118000008</v>
      </c>
      <c r="F143" s="12">
        <f>F136+F138+F139+F140</f>
        <v>-47042462.596599996</v>
      </c>
    </row>
    <row r="145" spans="1:7" ht="15" thickBot="1"/>
    <row r="146" spans="1:7" ht="29.25">
      <c r="A146" s="14"/>
      <c r="B146" s="15" t="s">
        <v>0</v>
      </c>
      <c r="C146" s="16" t="s">
        <v>1</v>
      </c>
      <c r="D146" s="34" t="s">
        <v>2</v>
      </c>
      <c r="E146" s="34" t="s">
        <v>3</v>
      </c>
      <c r="F146" s="34" t="s">
        <v>4</v>
      </c>
      <c r="G146" s="18" t="s">
        <v>22</v>
      </c>
    </row>
    <row r="147" spans="1:7">
      <c r="A147" s="19"/>
      <c r="B147" s="20" t="s">
        <v>23</v>
      </c>
      <c r="C147" s="23">
        <f>הוצאות!D236</f>
        <v>8612191</v>
      </c>
      <c r="D147" s="23">
        <f>הוצאות!E236</f>
        <v>7431131.7400000012</v>
      </c>
      <c r="E147" s="23">
        <f>הוצאות!F236</f>
        <v>8725333.6499999985</v>
      </c>
      <c r="F147" s="23">
        <f>הוצאות!G236</f>
        <v>9536000</v>
      </c>
      <c r="G147" s="92">
        <f>הוצאות!H236</f>
        <v>47.36</v>
      </c>
    </row>
    <row r="148" spans="1:7">
      <c r="A148" s="19"/>
      <c r="B148" s="20" t="s">
        <v>24</v>
      </c>
      <c r="C148" s="23">
        <f>הוצאות!D237</f>
        <v>5786713</v>
      </c>
      <c r="D148" s="23">
        <f>הוצאות!E237</f>
        <v>4126136.6199999992</v>
      </c>
      <c r="E148" s="23">
        <f>הוצאות!F237</f>
        <v>5169500.0613333322</v>
      </c>
      <c r="F148" s="23">
        <f>הוצאות!G237</f>
        <v>6297200</v>
      </c>
      <c r="G148" s="23">
        <f>הוצאות!H237</f>
        <v>0</v>
      </c>
    </row>
    <row r="149" spans="1:7">
      <c r="A149" s="19"/>
      <c r="B149" s="20" t="s">
        <v>25</v>
      </c>
      <c r="C149" s="23"/>
      <c r="D149" s="23"/>
      <c r="E149" s="23"/>
      <c r="F149" s="23"/>
      <c r="G149" s="23"/>
    </row>
    <row r="150" spans="1:7">
      <c r="A150" s="19"/>
      <c r="B150" s="20" t="s">
        <v>26</v>
      </c>
      <c r="C150" s="23">
        <f t="shared" ref="C150" si="9">SUBTOTAL(9,C147:C149)</f>
        <v>14398904</v>
      </c>
      <c r="D150" s="23">
        <f t="shared" ref="D150:G150" si="10">SUBTOTAL(9,D147:D149)</f>
        <v>11557268.359999999</v>
      </c>
      <c r="E150" s="23">
        <f t="shared" si="10"/>
        <v>13894833.711333331</v>
      </c>
      <c r="F150" s="23">
        <f t="shared" si="10"/>
        <v>15833200</v>
      </c>
      <c r="G150" s="92">
        <f t="shared" si="10"/>
        <v>47.36</v>
      </c>
    </row>
    <row r="151" spans="1:7">
      <c r="A151" s="19"/>
      <c r="B151" s="20"/>
      <c r="C151" s="23"/>
      <c r="D151" s="23"/>
      <c r="E151" s="23"/>
      <c r="F151" s="23"/>
      <c r="G151" s="23"/>
    </row>
    <row r="152" spans="1:7">
      <c r="A152" s="19"/>
      <c r="B152" s="20" t="s">
        <v>27</v>
      </c>
      <c r="C152" s="23">
        <f>הוצאות!D241</f>
        <v>14776428</v>
      </c>
      <c r="D152" s="23">
        <f>הוצאות!E241</f>
        <v>12977559.840000002</v>
      </c>
      <c r="E152" s="23">
        <f>הוצאות!F241</f>
        <v>14845841.290000001</v>
      </c>
      <c r="F152" s="23">
        <f>הוצאות!G241</f>
        <v>15209000</v>
      </c>
      <c r="G152" s="92">
        <f>הוצאות!H241</f>
        <v>91.340000000000018</v>
      </c>
    </row>
    <row r="153" spans="1:7">
      <c r="A153" s="19"/>
      <c r="B153" s="20" t="s">
        <v>28</v>
      </c>
      <c r="C153" s="23">
        <f>הוצאות!D242</f>
        <v>4721290</v>
      </c>
      <c r="D153" s="23">
        <f>הוצאות!E242</f>
        <v>4181951.5100000007</v>
      </c>
      <c r="E153" s="23">
        <f>הוצאות!F242</f>
        <v>5225608.950666667</v>
      </c>
      <c r="F153" s="23">
        <f>הוצאות!G242</f>
        <v>5345578</v>
      </c>
      <c r="G153" s="23">
        <f>הוצאות!H242</f>
        <v>0</v>
      </c>
    </row>
    <row r="154" spans="1:7">
      <c r="A154" s="19"/>
      <c r="B154" s="20" t="s">
        <v>29</v>
      </c>
      <c r="C154" s="23">
        <f t="shared" ref="C154" si="11">SUBTOTAL(9,C152:C153)</f>
        <v>19497718</v>
      </c>
      <c r="D154" s="23">
        <f t="shared" ref="D154:G154" si="12">SUBTOTAL(9,D152:D153)</f>
        <v>17159511.350000001</v>
      </c>
      <c r="E154" s="23">
        <f t="shared" si="12"/>
        <v>20071450.240666669</v>
      </c>
      <c r="F154" s="23">
        <f t="shared" si="12"/>
        <v>20554578</v>
      </c>
      <c r="G154" s="92">
        <f t="shared" si="12"/>
        <v>91.340000000000018</v>
      </c>
    </row>
    <row r="155" spans="1:7">
      <c r="A155" s="19"/>
      <c r="B155" s="20" t="s">
        <v>30</v>
      </c>
      <c r="C155" s="23">
        <f>הוצאות!D244</f>
        <v>1187700</v>
      </c>
      <c r="D155" s="23">
        <f>הוצאות!E244</f>
        <v>934869.32</v>
      </c>
      <c r="E155" s="23">
        <f>הוצאות!F244</f>
        <v>1106845.24</v>
      </c>
      <c r="F155" s="23">
        <f>הוצאות!G244</f>
        <v>1384000</v>
      </c>
      <c r="G155" s="92">
        <f>הוצאות!H244</f>
        <v>8.4699999999999989</v>
      </c>
    </row>
    <row r="156" spans="1:7">
      <c r="A156" s="19"/>
      <c r="B156" s="20" t="s">
        <v>31</v>
      </c>
      <c r="C156" s="23">
        <f>הוצאות!D245</f>
        <v>4195800</v>
      </c>
      <c r="D156" s="23">
        <f>הוצאות!E245</f>
        <v>3466955.83</v>
      </c>
      <c r="E156" s="23">
        <f>הוצאות!F245</f>
        <v>4283749.8266666662</v>
      </c>
      <c r="F156" s="23">
        <f>הוצאות!G245</f>
        <v>5165085</v>
      </c>
      <c r="G156" s="23">
        <f>הוצאות!H245</f>
        <v>0</v>
      </c>
    </row>
    <row r="157" spans="1:7">
      <c r="A157" s="19"/>
      <c r="B157" s="20" t="s">
        <v>32</v>
      </c>
      <c r="C157" s="23">
        <f t="shared" ref="C157" si="13">SUBTOTAL(9,C155:C156)</f>
        <v>5383500</v>
      </c>
      <c r="D157" s="23">
        <f t="shared" ref="D157:G157" si="14">SUBTOTAL(9,D155:D156)</f>
        <v>4401825.1500000004</v>
      </c>
      <c r="E157" s="23">
        <f t="shared" si="14"/>
        <v>5390595.0666666664</v>
      </c>
      <c r="F157" s="23">
        <f t="shared" si="14"/>
        <v>6549085</v>
      </c>
      <c r="G157" s="92">
        <f t="shared" si="14"/>
        <v>8.4699999999999989</v>
      </c>
    </row>
    <row r="158" spans="1:7">
      <c r="A158" s="19"/>
      <c r="B158" s="20"/>
      <c r="C158" s="23"/>
      <c r="D158" s="23"/>
      <c r="E158" s="23"/>
      <c r="F158" s="23"/>
      <c r="G158" s="23"/>
    </row>
    <row r="159" spans="1:7" ht="28.5">
      <c r="A159" s="19"/>
      <c r="B159" s="35" t="s">
        <v>33</v>
      </c>
      <c r="C159" s="23">
        <f t="shared" ref="C159" si="15">C150+C154+C157</f>
        <v>39280122</v>
      </c>
      <c r="D159" s="23">
        <f t="shared" ref="D159:G159" si="16">D150+D154+D157</f>
        <v>33118604.859999999</v>
      </c>
      <c r="E159" s="23">
        <f t="shared" si="16"/>
        <v>39356879.01866667</v>
      </c>
      <c r="F159" s="23">
        <f t="shared" si="16"/>
        <v>42936863</v>
      </c>
      <c r="G159" s="92">
        <f t="shared" si="16"/>
        <v>147.17000000000002</v>
      </c>
    </row>
    <row r="160" spans="1:7">
      <c r="A160" s="19"/>
      <c r="B160" s="20" t="s">
        <v>34</v>
      </c>
      <c r="C160" s="23"/>
      <c r="D160" s="23"/>
      <c r="E160" s="23"/>
      <c r="F160" s="23"/>
      <c r="G160" s="23"/>
    </row>
    <row r="161" spans="1:7">
      <c r="A161" s="19"/>
      <c r="B161" s="20" t="s">
        <v>35</v>
      </c>
      <c r="C161" s="23">
        <f>הוצאות!D250</f>
        <v>1670000</v>
      </c>
      <c r="D161" s="23">
        <f>הוצאות!E250</f>
        <v>1018474.19</v>
      </c>
      <c r="E161" s="23">
        <f>הוצאות!F250</f>
        <v>1243808.19</v>
      </c>
      <c r="F161" s="23">
        <f>הוצאות!G250</f>
        <v>1646000</v>
      </c>
      <c r="G161" s="23">
        <f>הוצאות!H250</f>
        <v>0</v>
      </c>
    </row>
    <row r="162" spans="1:7">
      <c r="A162" s="19"/>
      <c r="B162" s="20" t="s">
        <v>36</v>
      </c>
      <c r="C162" s="23">
        <f t="shared" ref="C162" si="17">SUBTOTAL(9,C160:C161)</f>
        <v>1670000</v>
      </c>
      <c r="D162" s="23">
        <f t="shared" ref="D162:G162" si="18">SUBTOTAL(9,D160:D161)</f>
        <v>1018474.19</v>
      </c>
      <c r="E162" s="23">
        <f t="shared" si="18"/>
        <v>1243808.19</v>
      </c>
      <c r="F162" s="23">
        <f t="shared" si="18"/>
        <v>1646000</v>
      </c>
      <c r="G162" s="23">
        <f t="shared" si="18"/>
        <v>0</v>
      </c>
    </row>
    <row r="163" spans="1:7">
      <c r="A163" s="19"/>
      <c r="B163" s="20"/>
      <c r="C163" s="23"/>
      <c r="D163" s="23"/>
      <c r="E163" s="23"/>
      <c r="F163" s="23"/>
      <c r="G163" s="23"/>
    </row>
    <row r="164" spans="1:7">
      <c r="A164" s="19"/>
      <c r="B164" s="20" t="s">
        <v>37</v>
      </c>
      <c r="C164" s="23">
        <f>הוצאות!D253</f>
        <v>159779</v>
      </c>
      <c r="D164" s="23">
        <f>הוצאות!E253</f>
        <v>152928.62</v>
      </c>
      <c r="E164" s="23">
        <f>הוצאות!F253</f>
        <v>183574</v>
      </c>
      <c r="F164" s="23">
        <f>הוצאות!G253</f>
        <v>130000</v>
      </c>
      <c r="G164" s="23">
        <f>הוצאות!H253</f>
        <v>0</v>
      </c>
    </row>
    <row r="165" spans="1:7">
      <c r="A165" s="19"/>
      <c r="B165" s="20" t="s">
        <v>38</v>
      </c>
      <c r="C165" s="23">
        <f>הוצאות!D254</f>
        <v>0</v>
      </c>
      <c r="D165" s="23">
        <f>הוצאות!E254</f>
        <v>147371.53</v>
      </c>
      <c r="E165" s="23">
        <f>הוצאות!F254</f>
        <v>153600</v>
      </c>
      <c r="F165" s="23">
        <f>הוצאות!G254</f>
        <v>129600</v>
      </c>
      <c r="G165" s="23">
        <f>הוצאות!H254</f>
        <v>0</v>
      </c>
    </row>
    <row r="166" spans="1:7" ht="28.5">
      <c r="A166" s="19"/>
      <c r="B166" s="35" t="s">
        <v>39</v>
      </c>
      <c r="C166" s="23">
        <f t="shared" ref="C166" si="19">C159+C162+C164+C165</f>
        <v>41109901</v>
      </c>
      <c r="D166" s="23">
        <f t="shared" ref="D166:G166" si="20">D159+D162+D164+D165</f>
        <v>34437379.199999996</v>
      </c>
      <c r="E166" s="23">
        <f t="shared" si="20"/>
        <v>40937861.208666667</v>
      </c>
      <c r="F166" s="23">
        <f t="shared" si="20"/>
        <v>44842463</v>
      </c>
      <c r="G166" s="92">
        <f t="shared" si="20"/>
        <v>147.17000000000002</v>
      </c>
    </row>
    <row r="167" spans="1:7">
      <c r="A167" s="19"/>
      <c r="B167" s="20"/>
      <c r="C167" s="23"/>
      <c r="D167" s="23"/>
      <c r="E167" s="23"/>
      <c r="F167" s="23"/>
      <c r="G167" s="23"/>
    </row>
    <row r="168" spans="1:7">
      <c r="A168" s="19"/>
      <c r="B168" s="20" t="s">
        <v>40</v>
      </c>
      <c r="C168" s="23"/>
      <c r="D168" s="23"/>
      <c r="E168" s="23"/>
      <c r="F168" s="23"/>
      <c r="G168" s="23"/>
    </row>
    <row r="169" spans="1:7">
      <c r="A169" s="19"/>
      <c r="B169" s="20" t="s">
        <v>41</v>
      </c>
      <c r="C169" s="23">
        <f>הוצאות!D258</f>
        <v>2000000</v>
      </c>
      <c r="D169" s="23">
        <f>הוצאות!E258</f>
        <v>1823966.9</v>
      </c>
      <c r="E169" s="23">
        <f>הוצאות!F258</f>
        <v>2000000</v>
      </c>
      <c r="F169" s="23">
        <f>הוצאות!G258</f>
        <v>2200000</v>
      </c>
      <c r="G169" s="23">
        <f>הוצאות!H258</f>
        <v>0</v>
      </c>
    </row>
    <row r="170" spans="1:7" ht="15">
      <c r="A170" s="19"/>
      <c r="B170" s="36" t="s">
        <v>42</v>
      </c>
      <c r="C170" s="23">
        <f>C166+C169</f>
        <v>43109901</v>
      </c>
      <c r="D170" s="23">
        <f t="shared" ref="D170:G170" si="21">D166+D169</f>
        <v>36261346.099999994</v>
      </c>
      <c r="E170" s="23">
        <f t="shared" si="21"/>
        <v>42937861.208666667</v>
      </c>
      <c r="F170" s="23">
        <f t="shared" si="21"/>
        <v>47042463</v>
      </c>
      <c r="G170" s="92">
        <f t="shared" si="21"/>
        <v>147.17000000000002</v>
      </c>
    </row>
    <row r="171" spans="1:7" ht="15" thickBot="1">
      <c r="A171" s="27"/>
      <c r="B171" s="28"/>
      <c r="C171" s="28"/>
      <c r="D171" s="28"/>
      <c r="E171" s="30"/>
      <c r="F171" s="28"/>
      <c r="G171" s="31"/>
    </row>
  </sheetData>
  <pageMargins left="0.7" right="0.7" top="0.75" bottom="0.75" header="0.3" footer="0.3"/>
  <pageSetup paperSize="9" scale="77" orientation="portrait" r:id="rId1"/>
  <rowBreaks count="2" manualBreakCount="2">
    <brk id="56" max="6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rightToLeft="1" tabSelected="1" zoomScaleNormal="100" workbookViewId="0">
      <pane ySplit="1" topLeftCell="A17" activePane="bottomLeft" state="frozen"/>
      <selection pane="bottomLeft" activeCell="M55" sqref="M55"/>
    </sheetView>
  </sheetViews>
  <sheetFormatPr defaultRowHeight="14.25"/>
  <cols>
    <col min="1" max="1" width="11.375" style="32" bestFit="1" customWidth="1"/>
    <col min="2" max="2" width="6.375" style="32" bestFit="1" customWidth="1"/>
    <col min="3" max="3" width="25.75" style="32" bestFit="1" customWidth="1"/>
    <col min="4" max="4" width="12.875" style="32" bestFit="1" customWidth="1"/>
    <col min="5" max="5" width="13.5" style="32" hidden="1" customWidth="1"/>
    <col min="6" max="6" width="14.125" style="32" bestFit="1" customWidth="1"/>
    <col min="7" max="7" width="15" style="32" customWidth="1"/>
    <col min="8" max="8" width="7.625" style="32" customWidth="1"/>
    <col min="9" max="248" width="9" style="32"/>
    <col min="249" max="249" width="6.5" style="32" bestFit="1" customWidth="1"/>
    <col min="250" max="250" width="7.125" style="32" customWidth="1"/>
    <col min="251" max="251" width="11.375" style="32" bestFit="1" customWidth="1"/>
    <col min="252" max="252" width="25.75" style="32" bestFit="1" customWidth="1"/>
    <col min="253" max="253" width="12.875" style="32" bestFit="1" customWidth="1"/>
    <col min="254" max="254" width="0" style="32" hidden="1" customWidth="1"/>
    <col min="255" max="255" width="14.125" style="32" bestFit="1" customWidth="1"/>
    <col min="256" max="256" width="18.75" style="32" customWidth="1"/>
    <col min="257" max="257" width="10.125" style="32" customWidth="1"/>
    <col min="258" max="258" width="10.125" style="32" bestFit="1" customWidth="1"/>
    <col min="259" max="259" width="14" style="32" customWidth="1"/>
    <col min="260" max="260" width="18" style="32" bestFit="1" customWidth="1"/>
    <col min="261" max="261" width="8.125" style="32" bestFit="1" customWidth="1"/>
    <col min="262" max="504" width="9" style="32"/>
    <col min="505" max="505" width="6.5" style="32" bestFit="1" customWidth="1"/>
    <col min="506" max="506" width="7.125" style="32" customWidth="1"/>
    <col min="507" max="507" width="11.375" style="32" bestFit="1" customWidth="1"/>
    <col min="508" max="508" width="25.75" style="32" bestFit="1" customWidth="1"/>
    <col min="509" max="509" width="12.875" style="32" bestFit="1" customWidth="1"/>
    <col min="510" max="510" width="0" style="32" hidden="1" customWidth="1"/>
    <col min="511" max="511" width="14.125" style="32" bestFit="1" customWidth="1"/>
    <col min="512" max="512" width="18.75" style="32" customWidth="1"/>
    <col min="513" max="513" width="10.125" style="32" customWidth="1"/>
    <col min="514" max="514" width="10.125" style="32" bestFit="1" customWidth="1"/>
    <col min="515" max="515" width="14" style="32" customWidth="1"/>
    <col min="516" max="516" width="18" style="32" bestFit="1" customWidth="1"/>
    <col min="517" max="517" width="8.125" style="32" bestFit="1" customWidth="1"/>
    <col min="518" max="760" width="9" style="32"/>
    <col min="761" max="761" width="6.5" style="32" bestFit="1" customWidth="1"/>
    <col min="762" max="762" width="7.125" style="32" customWidth="1"/>
    <col min="763" max="763" width="11.375" style="32" bestFit="1" customWidth="1"/>
    <col min="764" max="764" width="25.75" style="32" bestFit="1" customWidth="1"/>
    <col min="765" max="765" width="12.875" style="32" bestFit="1" customWidth="1"/>
    <col min="766" max="766" width="0" style="32" hidden="1" customWidth="1"/>
    <col min="767" max="767" width="14.125" style="32" bestFit="1" customWidth="1"/>
    <col min="768" max="768" width="18.75" style="32" customWidth="1"/>
    <col min="769" max="769" width="10.125" style="32" customWidth="1"/>
    <col min="770" max="770" width="10.125" style="32" bestFit="1" customWidth="1"/>
    <col min="771" max="771" width="14" style="32" customWidth="1"/>
    <col min="772" max="772" width="18" style="32" bestFit="1" customWidth="1"/>
    <col min="773" max="773" width="8.125" style="32" bestFit="1" customWidth="1"/>
    <col min="774" max="1016" width="9" style="32"/>
    <col min="1017" max="1017" width="6.5" style="32" bestFit="1" customWidth="1"/>
    <col min="1018" max="1018" width="7.125" style="32" customWidth="1"/>
    <col min="1019" max="1019" width="11.375" style="32" bestFit="1" customWidth="1"/>
    <col min="1020" max="1020" width="25.75" style="32" bestFit="1" customWidth="1"/>
    <col min="1021" max="1021" width="12.875" style="32" bestFit="1" customWidth="1"/>
    <col min="1022" max="1022" width="0" style="32" hidden="1" customWidth="1"/>
    <col min="1023" max="1023" width="14.125" style="32" bestFit="1" customWidth="1"/>
    <col min="1024" max="1024" width="18.75" style="32" customWidth="1"/>
    <col min="1025" max="1025" width="10.125" style="32" customWidth="1"/>
    <col min="1026" max="1026" width="10.125" style="32" bestFit="1" customWidth="1"/>
    <col min="1027" max="1027" width="14" style="32" customWidth="1"/>
    <col min="1028" max="1028" width="18" style="32" bestFit="1" customWidth="1"/>
    <col min="1029" max="1029" width="8.125" style="32" bestFit="1" customWidth="1"/>
    <col min="1030" max="1272" width="9" style="32"/>
    <col min="1273" max="1273" width="6.5" style="32" bestFit="1" customWidth="1"/>
    <col min="1274" max="1274" width="7.125" style="32" customWidth="1"/>
    <col min="1275" max="1275" width="11.375" style="32" bestFit="1" customWidth="1"/>
    <col min="1276" max="1276" width="25.75" style="32" bestFit="1" customWidth="1"/>
    <col min="1277" max="1277" width="12.875" style="32" bestFit="1" customWidth="1"/>
    <col min="1278" max="1278" width="0" style="32" hidden="1" customWidth="1"/>
    <col min="1279" max="1279" width="14.125" style="32" bestFit="1" customWidth="1"/>
    <col min="1280" max="1280" width="18.75" style="32" customWidth="1"/>
    <col min="1281" max="1281" width="10.125" style="32" customWidth="1"/>
    <col min="1282" max="1282" width="10.125" style="32" bestFit="1" customWidth="1"/>
    <col min="1283" max="1283" width="14" style="32" customWidth="1"/>
    <col min="1284" max="1284" width="18" style="32" bestFit="1" customWidth="1"/>
    <col min="1285" max="1285" width="8.125" style="32" bestFit="1" customWidth="1"/>
    <col min="1286" max="1528" width="9" style="32"/>
    <col min="1529" max="1529" width="6.5" style="32" bestFit="1" customWidth="1"/>
    <col min="1530" max="1530" width="7.125" style="32" customWidth="1"/>
    <col min="1531" max="1531" width="11.375" style="32" bestFit="1" customWidth="1"/>
    <col min="1532" max="1532" width="25.75" style="32" bestFit="1" customWidth="1"/>
    <col min="1533" max="1533" width="12.875" style="32" bestFit="1" customWidth="1"/>
    <col min="1534" max="1534" width="0" style="32" hidden="1" customWidth="1"/>
    <col min="1535" max="1535" width="14.125" style="32" bestFit="1" customWidth="1"/>
    <col min="1536" max="1536" width="18.75" style="32" customWidth="1"/>
    <col min="1537" max="1537" width="10.125" style="32" customWidth="1"/>
    <col min="1538" max="1538" width="10.125" style="32" bestFit="1" customWidth="1"/>
    <col min="1539" max="1539" width="14" style="32" customWidth="1"/>
    <col min="1540" max="1540" width="18" style="32" bestFit="1" customWidth="1"/>
    <col min="1541" max="1541" width="8.125" style="32" bestFit="1" customWidth="1"/>
    <col min="1542" max="1784" width="9" style="32"/>
    <col min="1785" max="1785" width="6.5" style="32" bestFit="1" customWidth="1"/>
    <col min="1786" max="1786" width="7.125" style="32" customWidth="1"/>
    <col min="1787" max="1787" width="11.375" style="32" bestFit="1" customWidth="1"/>
    <col min="1788" max="1788" width="25.75" style="32" bestFit="1" customWidth="1"/>
    <col min="1789" max="1789" width="12.875" style="32" bestFit="1" customWidth="1"/>
    <col min="1790" max="1790" width="0" style="32" hidden="1" customWidth="1"/>
    <col min="1791" max="1791" width="14.125" style="32" bestFit="1" customWidth="1"/>
    <col min="1792" max="1792" width="18.75" style="32" customWidth="1"/>
    <col min="1793" max="1793" width="10.125" style="32" customWidth="1"/>
    <col min="1794" max="1794" width="10.125" style="32" bestFit="1" customWidth="1"/>
    <col min="1795" max="1795" width="14" style="32" customWidth="1"/>
    <col min="1796" max="1796" width="18" style="32" bestFit="1" customWidth="1"/>
    <col min="1797" max="1797" width="8.125" style="32" bestFit="1" customWidth="1"/>
    <col min="1798" max="2040" width="9" style="32"/>
    <col min="2041" max="2041" width="6.5" style="32" bestFit="1" customWidth="1"/>
    <col min="2042" max="2042" width="7.125" style="32" customWidth="1"/>
    <col min="2043" max="2043" width="11.375" style="32" bestFit="1" customWidth="1"/>
    <col min="2044" max="2044" width="25.75" style="32" bestFit="1" customWidth="1"/>
    <col min="2045" max="2045" width="12.875" style="32" bestFit="1" customWidth="1"/>
    <col min="2046" max="2046" width="0" style="32" hidden="1" customWidth="1"/>
    <col min="2047" max="2047" width="14.125" style="32" bestFit="1" customWidth="1"/>
    <col min="2048" max="2048" width="18.75" style="32" customWidth="1"/>
    <col min="2049" max="2049" width="10.125" style="32" customWidth="1"/>
    <col min="2050" max="2050" width="10.125" style="32" bestFit="1" customWidth="1"/>
    <col min="2051" max="2051" width="14" style="32" customWidth="1"/>
    <col min="2052" max="2052" width="18" style="32" bestFit="1" customWidth="1"/>
    <col min="2053" max="2053" width="8.125" style="32" bestFit="1" customWidth="1"/>
    <col min="2054" max="2296" width="9" style="32"/>
    <col min="2297" max="2297" width="6.5" style="32" bestFit="1" customWidth="1"/>
    <col min="2298" max="2298" width="7.125" style="32" customWidth="1"/>
    <col min="2299" max="2299" width="11.375" style="32" bestFit="1" customWidth="1"/>
    <col min="2300" max="2300" width="25.75" style="32" bestFit="1" customWidth="1"/>
    <col min="2301" max="2301" width="12.875" style="32" bestFit="1" customWidth="1"/>
    <col min="2302" max="2302" width="0" style="32" hidden="1" customWidth="1"/>
    <col min="2303" max="2303" width="14.125" style="32" bestFit="1" customWidth="1"/>
    <col min="2304" max="2304" width="18.75" style="32" customWidth="1"/>
    <col min="2305" max="2305" width="10.125" style="32" customWidth="1"/>
    <col min="2306" max="2306" width="10.125" style="32" bestFit="1" customWidth="1"/>
    <col min="2307" max="2307" width="14" style="32" customWidth="1"/>
    <col min="2308" max="2308" width="18" style="32" bestFit="1" customWidth="1"/>
    <col min="2309" max="2309" width="8.125" style="32" bestFit="1" customWidth="1"/>
    <col min="2310" max="2552" width="9" style="32"/>
    <col min="2553" max="2553" width="6.5" style="32" bestFit="1" customWidth="1"/>
    <col min="2554" max="2554" width="7.125" style="32" customWidth="1"/>
    <col min="2555" max="2555" width="11.375" style="32" bestFit="1" customWidth="1"/>
    <col min="2556" max="2556" width="25.75" style="32" bestFit="1" customWidth="1"/>
    <col min="2557" max="2557" width="12.875" style="32" bestFit="1" customWidth="1"/>
    <col min="2558" max="2558" width="0" style="32" hidden="1" customWidth="1"/>
    <col min="2559" max="2559" width="14.125" style="32" bestFit="1" customWidth="1"/>
    <col min="2560" max="2560" width="18.75" style="32" customWidth="1"/>
    <col min="2561" max="2561" width="10.125" style="32" customWidth="1"/>
    <col min="2562" max="2562" width="10.125" style="32" bestFit="1" customWidth="1"/>
    <col min="2563" max="2563" width="14" style="32" customWidth="1"/>
    <col min="2564" max="2564" width="18" style="32" bestFit="1" customWidth="1"/>
    <col min="2565" max="2565" width="8.125" style="32" bestFit="1" customWidth="1"/>
    <col min="2566" max="2808" width="9" style="32"/>
    <col min="2809" max="2809" width="6.5" style="32" bestFit="1" customWidth="1"/>
    <col min="2810" max="2810" width="7.125" style="32" customWidth="1"/>
    <col min="2811" max="2811" width="11.375" style="32" bestFit="1" customWidth="1"/>
    <col min="2812" max="2812" width="25.75" style="32" bestFit="1" customWidth="1"/>
    <col min="2813" max="2813" width="12.875" style="32" bestFit="1" customWidth="1"/>
    <col min="2814" max="2814" width="0" style="32" hidden="1" customWidth="1"/>
    <col min="2815" max="2815" width="14.125" style="32" bestFit="1" customWidth="1"/>
    <col min="2816" max="2816" width="18.75" style="32" customWidth="1"/>
    <col min="2817" max="2817" width="10.125" style="32" customWidth="1"/>
    <col min="2818" max="2818" width="10.125" style="32" bestFit="1" customWidth="1"/>
    <col min="2819" max="2819" width="14" style="32" customWidth="1"/>
    <col min="2820" max="2820" width="18" style="32" bestFit="1" customWidth="1"/>
    <col min="2821" max="2821" width="8.125" style="32" bestFit="1" customWidth="1"/>
    <col min="2822" max="3064" width="9" style="32"/>
    <col min="3065" max="3065" width="6.5" style="32" bestFit="1" customWidth="1"/>
    <col min="3066" max="3066" width="7.125" style="32" customWidth="1"/>
    <col min="3067" max="3067" width="11.375" style="32" bestFit="1" customWidth="1"/>
    <col min="3068" max="3068" width="25.75" style="32" bestFit="1" customWidth="1"/>
    <col min="3069" max="3069" width="12.875" style="32" bestFit="1" customWidth="1"/>
    <col min="3070" max="3070" width="0" style="32" hidden="1" customWidth="1"/>
    <col min="3071" max="3071" width="14.125" style="32" bestFit="1" customWidth="1"/>
    <col min="3072" max="3072" width="18.75" style="32" customWidth="1"/>
    <col min="3073" max="3073" width="10.125" style="32" customWidth="1"/>
    <col min="3074" max="3074" width="10.125" style="32" bestFit="1" customWidth="1"/>
    <col min="3075" max="3075" width="14" style="32" customWidth="1"/>
    <col min="3076" max="3076" width="18" style="32" bestFit="1" customWidth="1"/>
    <col min="3077" max="3077" width="8.125" style="32" bestFit="1" customWidth="1"/>
    <col min="3078" max="3320" width="9" style="32"/>
    <col min="3321" max="3321" width="6.5" style="32" bestFit="1" customWidth="1"/>
    <col min="3322" max="3322" width="7.125" style="32" customWidth="1"/>
    <col min="3323" max="3323" width="11.375" style="32" bestFit="1" customWidth="1"/>
    <col min="3324" max="3324" width="25.75" style="32" bestFit="1" customWidth="1"/>
    <col min="3325" max="3325" width="12.875" style="32" bestFit="1" customWidth="1"/>
    <col min="3326" max="3326" width="0" style="32" hidden="1" customWidth="1"/>
    <col min="3327" max="3327" width="14.125" style="32" bestFit="1" customWidth="1"/>
    <col min="3328" max="3328" width="18.75" style="32" customWidth="1"/>
    <col min="3329" max="3329" width="10.125" style="32" customWidth="1"/>
    <col min="3330" max="3330" width="10.125" style="32" bestFit="1" customWidth="1"/>
    <col min="3331" max="3331" width="14" style="32" customWidth="1"/>
    <col min="3332" max="3332" width="18" style="32" bestFit="1" customWidth="1"/>
    <col min="3333" max="3333" width="8.125" style="32" bestFit="1" customWidth="1"/>
    <col min="3334" max="3576" width="9" style="32"/>
    <col min="3577" max="3577" width="6.5" style="32" bestFit="1" customWidth="1"/>
    <col min="3578" max="3578" width="7.125" style="32" customWidth="1"/>
    <col min="3579" max="3579" width="11.375" style="32" bestFit="1" customWidth="1"/>
    <col min="3580" max="3580" width="25.75" style="32" bestFit="1" customWidth="1"/>
    <col min="3581" max="3581" width="12.875" style="32" bestFit="1" customWidth="1"/>
    <col min="3582" max="3582" width="0" style="32" hidden="1" customWidth="1"/>
    <col min="3583" max="3583" width="14.125" style="32" bestFit="1" customWidth="1"/>
    <col min="3584" max="3584" width="18.75" style="32" customWidth="1"/>
    <col min="3585" max="3585" width="10.125" style="32" customWidth="1"/>
    <col min="3586" max="3586" width="10.125" style="32" bestFit="1" customWidth="1"/>
    <col min="3587" max="3587" width="14" style="32" customWidth="1"/>
    <col min="3588" max="3588" width="18" style="32" bestFit="1" customWidth="1"/>
    <col min="3589" max="3589" width="8.125" style="32" bestFit="1" customWidth="1"/>
    <col min="3590" max="3832" width="9" style="32"/>
    <col min="3833" max="3833" width="6.5" style="32" bestFit="1" customWidth="1"/>
    <col min="3834" max="3834" width="7.125" style="32" customWidth="1"/>
    <col min="3835" max="3835" width="11.375" style="32" bestFit="1" customWidth="1"/>
    <col min="3836" max="3836" width="25.75" style="32" bestFit="1" customWidth="1"/>
    <col min="3837" max="3837" width="12.875" style="32" bestFit="1" customWidth="1"/>
    <col min="3838" max="3838" width="0" style="32" hidden="1" customWidth="1"/>
    <col min="3839" max="3839" width="14.125" style="32" bestFit="1" customWidth="1"/>
    <col min="3840" max="3840" width="18.75" style="32" customWidth="1"/>
    <col min="3841" max="3841" width="10.125" style="32" customWidth="1"/>
    <col min="3842" max="3842" width="10.125" style="32" bestFit="1" customWidth="1"/>
    <col min="3843" max="3843" width="14" style="32" customWidth="1"/>
    <col min="3844" max="3844" width="18" style="32" bestFit="1" customWidth="1"/>
    <col min="3845" max="3845" width="8.125" style="32" bestFit="1" customWidth="1"/>
    <col min="3846" max="4088" width="9" style="32"/>
    <col min="4089" max="4089" width="6.5" style="32" bestFit="1" customWidth="1"/>
    <col min="4090" max="4090" width="7.125" style="32" customWidth="1"/>
    <col min="4091" max="4091" width="11.375" style="32" bestFit="1" customWidth="1"/>
    <col min="4092" max="4092" width="25.75" style="32" bestFit="1" customWidth="1"/>
    <col min="4093" max="4093" width="12.875" style="32" bestFit="1" customWidth="1"/>
    <col min="4094" max="4094" width="0" style="32" hidden="1" customWidth="1"/>
    <col min="4095" max="4095" width="14.125" style="32" bestFit="1" customWidth="1"/>
    <col min="4096" max="4096" width="18.75" style="32" customWidth="1"/>
    <col min="4097" max="4097" width="10.125" style="32" customWidth="1"/>
    <col min="4098" max="4098" width="10.125" style="32" bestFit="1" customWidth="1"/>
    <col min="4099" max="4099" width="14" style="32" customWidth="1"/>
    <col min="4100" max="4100" width="18" style="32" bestFit="1" customWidth="1"/>
    <col min="4101" max="4101" width="8.125" style="32" bestFit="1" customWidth="1"/>
    <col min="4102" max="4344" width="9" style="32"/>
    <col min="4345" max="4345" width="6.5" style="32" bestFit="1" customWidth="1"/>
    <col min="4346" max="4346" width="7.125" style="32" customWidth="1"/>
    <col min="4347" max="4347" width="11.375" style="32" bestFit="1" customWidth="1"/>
    <col min="4348" max="4348" width="25.75" style="32" bestFit="1" customWidth="1"/>
    <col min="4349" max="4349" width="12.875" style="32" bestFit="1" customWidth="1"/>
    <col min="4350" max="4350" width="0" style="32" hidden="1" customWidth="1"/>
    <col min="4351" max="4351" width="14.125" style="32" bestFit="1" customWidth="1"/>
    <col min="4352" max="4352" width="18.75" style="32" customWidth="1"/>
    <col min="4353" max="4353" width="10.125" style="32" customWidth="1"/>
    <col min="4354" max="4354" width="10.125" style="32" bestFit="1" customWidth="1"/>
    <col min="4355" max="4355" width="14" style="32" customWidth="1"/>
    <col min="4356" max="4356" width="18" style="32" bestFit="1" customWidth="1"/>
    <col min="4357" max="4357" width="8.125" style="32" bestFit="1" customWidth="1"/>
    <col min="4358" max="4600" width="9" style="32"/>
    <col min="4601" max="4601" width="6.5" style="32" bestFit="1" customWidth="1"/>
    <col min="4602" max="4602" width="7.125" style="32" customWidth="1"/>
    <col min="4603" max="4603" width="11.375" style="32" bestFit="1" customWidth="1"/>
    <col min="4604" max="4604" width="25.75" style="32" bestFit="1" customWidth="1"/>
    <col min="4605" max="4605" width="12.875" style="32" bestFit="1" customWidth="1"/>
    <col min="4606" max="4606" width="0" style="32" hidden="1" customWidth="1"/>
    <col min="4607" max="4607" width="14.125" style="32" bestFit="1" customWidth="1"/>
    <col min="4608" max="4608" width="18.75" style="32" customWidth="1"/>
    <col min="4609" max="4609" width="10.125" style="32" customWidth="1"/>
    <col min="4610" max="4610" width="10.125" style="32" bestFit="1" customWidth="1"/>
    <col min="4611" max="4611" width="14" style="32" customWidth="1"/>
    <col min="4612" max="4612" width="18" style="32" bestFit="1" customWidth="1"/>
    <col min="4613" max="4613" width="8.125" style="32" bestFit="1" customWidth="1"/>
    <col min="4614" max="4856" width="9" style="32"/>
    <col min="4857" max="4857" width="6.5" style="32" bestFit="1" customWidth="1"/>
    <col min="4858" max="4858" width="7.125" style="32" customWidth="1"/>
    <col min="4859" max="4859" width="11.375" style="32" bestFit="1" customWidth="1"/>
    <col min="4860" max="4860" width="25.75" style="32" bestFit="1" customWidth="1"/>
    <col min="4861" max="4861" width="12.875" style="32" bestFit="1" customWidth="1"/>
    <col min="4862" max="4862" width="0" style="32" hidden="1" customWidth="1"/>
    <col min="4863" max="4863" width="14.125" style="32" bestFit="1" customWidth="1"/>
    <col min="4864" max="4864" width="18.75" style="32" customWidth="1"/>
    <col min="4865" max="4865" width="10.125" style="32" customWidth="1"/>
    <col min="4866" max="4866" width="10.125" style="32" bestFit="1" customWidth="1"/>
    <col min="4867" max="4867" width="14" style="32" customWidth="1"/>
    <col min="4868" max="4868" width="18" style="32" bestFit="1" customWidth="1"/>
    <col min="4869" max="4869" width="8.125" style="32" bestFit="1" customWidth="1"/>
    <col min="4870" max="5112" width="9" style="32"/>
    <col min="5113" max="5113" width="6.5" style="32" bestFit="1" customWidth="1"/>
    <col min="5114" max="5114" width="7.125" style="32" customWidth="1"/>
    <col min="5115" max="5115" width="11.375" style="32" bestFit="1" customWidth="1"/>
    <col min="5116" max="5116" width="25.75" style="32" bestFit="1" customWidth="1"/>
    <col min="5117" max="5117" width="12.875" style="32" bestFit="1" customWidth="1"/>
    <col min="5118" max="5118" width="0" style="32" hidden="1" customWidth="1"/>
    <col min="5119" max="5119" width="14.125" style="32" bestFit="1" customWidth="1"/>
    <col min="5120" max="5120" width="18.75" style="32" customWidth="1"/>
    <col min="5121" max="5121" width="10.125" style="32" customWidth="1"/>
    <col min="5122" max="5122" width="10.125" style="32" bestFit="1" customWidth="1"/>
    <col min="5123" max="5123" width="14" style="32" customWidth="1"/>
    <col min="5124" max="5124" width="18" style="32" bestFit="1" customWidth="1"/>
    <col min="5125" max="5125" width="8.125" style="32" bestFit="1" customWidth="1"/>
    <col min="5126" max="5368" width="9" style="32"/>
    <col min="5369" max="5369" width="6.5" style="32" bestFit="1" customWidth="1"/>
    <col min="5370" max="5370" width="7.125" style="32" customWidth="1"/>
    <col min="5371" max="5371" width="11.375" style="32" bestFit="1" customWidth="1"/>
    <col min="5372" max="5372" width="25.75" style="32" bestFit="1" customWidth="1"/>
    <col min="5373" max="5373" width="12.875" style="32" bestFit="1" customWidth="1"/>
    <col min="5374" max="5374" width="0" style="32" hidden="1" customWidth="1"/>
    <col min="5375" max="5375" width="14.125" style="32" bestFit="1" customWidth="1"/>
    <col min="5376" max="5376" width="18.75" style="32" customWidth="1"/>
    <col min="5377" max="5377" width="10.125" style="32" customWidth="1"/>
    <col min="5378" max="5378" width="10.125" style="32" bestFit="1" customWidth="1"/>
    <col min="5379" max="5379" width="14" style="32" customWidth="1"/>
    <col min="5380" max="5380" width="18" style="32" bestFit="1" customWidth="1"/>
    <col min="5381" max="5381" width="8.125" style="32" bestFit="1" customWidth="1"/>
    <col min="5382" max="5624" width="9" style="32"/>
    <col min="5625" max="5625" width="6.5" style="32" bestFit="1" customWidth="1"/>
    <col min="5626" max="5626" width="7.125" style="32" customWidth="1"/>
    <col min="5627" max="5627" width="11.375" style="32" bestFit="1" customWidth="1"/>
    <col min="5628" max="5628" width="25.75" style="32" bestFit="1" customWidth="1"/>
    <col min="5629" max="5629" width="12.875" style="32" bestFit="1" customWidth="1"/>
    <col min="5630" max="5630" width="0" style="32" hidden="1" customWidth="1"/>
    <col min="5631" max="5631" width="14.125" style="32" bestFit="1" customWidth="1"/>
    <col min="5632" max="5632" width="18.75" style="32" customWidth="1"/>
    <col min="5633" max="5633" width="10.125" style="32" customWidth="1"/>
    <col min="5634" max="5634" width="10.125" style="32" bestFit="1" customWidth="1"/>
    <col min="5635" max="5635" width="14" style="32" customWidth="1"/>
    <col min="5636" max="5636" width="18" style="32" bestFit="1" customWidth="1"/>
    <col min="5637" max="5637" width="8.125" style="32" bestFit="1" customWidth="1"/>
    <col min="5638" max="5880" width="9" style="32"/>
    <col min="5881" max="5881" width="6.5" style="32" bestFit="1" customWidth="1"/>
    <col min="5882" max="5882" width="7.125" style="32" customWidth="1"/>
    <col min="5883" max="5883" width="11.375" style="32" bestFit="1" customWidth="1"/>
    <col min="5884" max="5884" width="25.75" style="32" bestFit="1" customWidth="1"/>
    <col min="5885" max="5885" width="12.875" style="32" bestFit="1" customWidth="1"/>
    <col min="5886" max="5886" width="0" style="32" hidden="1" customWidth="1"/>
    <col min="5887" max="5887" width="14.125" style="32" bestFit="1" customWidth="1"/>
    <col min="5888" max="5888" width="18.75" style="32" customWidth="1"/>
    <col min="5889" max="5889" width="10.125" style="32" customWidth="1"/>
    <col min="5890" max="5890" width="10.125" style="32" bestFit="1" customWidth="1"/>
    <col min="5891" max="5891" width="14" style="32" customWidth="1"/>
    <col min="5892" max="5892" width="18" style="32" bestFit="1" customWidth="1"/>
    <col min="5893" max="5893" width="8.125" style="32" bestFit="1" customWidth="1"/>
    <col min="5894" max="6136" width="9" style="32"/>
    <col min="6137" max="6137" width="6.5" style="32" bestFit="1" customWidth="1"/>
    <col min="6138" max="6138" width="7.125" style="32" customWidth="1"/>
    <col min="6139" max="6139" width="11.375" style="32" bestFit="1" customWidth="1"/>
    <col min="6140" max="6140" width="25.75" style="32" bestFit="1" customWidth="1"/>
    <col min="6141" max="6141" width="12.875" style="32" bestFit="1" customWidth="1"/>
    <col min="6142" max="6142" width="0" style="32" hidden="1" customWidth="1"/>
    <col min="6143" max="6143" width="14.125" style="32" bestFit="1" customWidth="1"/>
    <col min="6144" max="6144" width="18.75" style="32" customWidth="1"/>
    <col min="6145" max="6145" width="10.125" style="32" customWidth="1"/>
    <col min="6146" max="6146" width="10.125" style="32" bestFit="1" customWidth="1"/>
    <col min="6147" max="6147" width="14" style="32" customWidth="1"/>
    <col min="6148" max="6148" width="18" style="32" bestFit="1" customWidth="1"/>
    <col min="6149" max="6149" width="8.125" style="32" bestFit="1" customWidth="1"/>
    <col min="6150" max="6392" width="9" style="32"/>
    <col min="6393" max="6393" width="6.5" style="32" bestFit="1" customWidth="1"/>
    <col min="6394" max="6394" width="7.125" style="32" customWidth="1"/>
    <col min="6395" max="6395" width="11.375" style="32" bestFit="1" customWidth="1"/>
    <col min="6396" max="6396" width="25.75" style="32" bestFit="1" customWidth="1"/>
    <col min="6397" max="6397" width="12.875" style="32" bestFit="1" customWidth="1"/>
    <col min="6398" max="6398" width="0" style="32" hidden="1" customWidth="1"/>
    <col min="6399" max="6399" width="14.125" style="32" bestFit="1" customWidth="1"/>
    <col min="6400" max="6400" width="18.75" style="32" customWidth="1"/>
    <col min="6401" max="6401" width="10.125" style="32" customWidth="1"/>
    <col min="6402" max="6402" width="10.125" style="32" bestFit="1" customWidth="1"/>
    <col min="6403" max="6403" width="14" style="32" customWidth="1"/>
    <col min="6404" max="6404" width="18" style="32" bestFit="1" customWidth="1"/>
    <col min="6405" max="6405" width="8.125" style="32" bestFit="1" customWidth="1"/>
    <col min="6406" max="6648" width="9" style="32"/>
    <col min="6649" max="6649" width="6.5" style="32" bestFit="1" customWidth="1"/>
    <col min="6650" max="6650" width="7.125" style="32" customWidth="1"/>
    <col min="6651" max="6651" width="11.375" style="32" bestFit="1" customWidth="1"/>
    <col min="6652" max="6652" width="25.75" style="32" bestFit="1" customWidth="1"/>
    <col min="6653" max="6653" width="12.875" style="32" bestFit="1" customWidth="1"/>
    <col min="6654" max="6654" width="0" style="32" hidden="1" customWidth="1"/>
    <col min="6655" max="6655" width="14.125" style="32" bestFit="1" customWidth="1"/>
    <col min="6656" max="6656" width="18.75" style="32" customWidth="1"/>
    <col min="6657" max="6657" width="10.125" style="32" customWidth="1"/>
    <col min="6658" max="6658" width="10.125" style="32" bestFit="1" customWidth="1"/>
    <col min="6659" max="6659" width="14" style="32" customWidth="1"/>
    <col min="6660" max="6660" width="18" style="32" bestFit="1" customWidth="1"/>
    <col min="6661" max="6661" width="8.125" style="32" bestFit="1" customWidth="1"/>
    <col min="6662" max="6904" width="9" style="32"/>
    <col min="6905" max="6905" width="6.5" style="32" bestFit="1" customWidth="1"/>
    <col min="6906" max="6906" width="7.125" style="32" customWidth="1"/>
    <col min="6907" max="6907" width="11.375" style="32" bestFit="1" customWidth="1"/>
    <col min="6908" max="6908" width="25.75" style="32" bestFit="1" customWidth="1"/>
    <col min="6909" max="6909" width="12.875" style="32" bestFit="1" customWidth="1"/>
    <col min="6910" max="6910" width="0" style="32" hidden="1" customWidth="1"/>
    <col min="6911" max="6911" width="14.125" style="32" bestFit="1" customWidth="1"/>
    <col min="6912" max="6912" width="18.75" style="32" customWidth="1"/>
    <col min="6913" max="6913" width="10.125" style="32" customWidth="1"/>
    <col min="6914" max="6914" width="10.125" style="32" bestFit="1" customWidth="1"/>
    <col min="6915" max="6915" width="14" style="32" customWidth="1"/>
    <col min="6916" max="6916" width="18" style="32" bestFit="1" customWidth="1"/>
    <col min="6917" max="6917" width="8.125" style="32" bestFit="1" customWidth="1"/>
    <col min="6918" max="7160" width="9" style="32"/>
    <col min="7161" max="7161" width="6.5" style="32" bestFit="1" customWidth="1"/>
    <col min="7162" max="7162" width="7.125" style="32" customWidth="1"/>
    <col min="7163" max="7163" width="11.375" style="32" bestFit="1" customWidth="1"/>
    <col min="7164" max="7164" width="25.75" style="32" bestFit="1" customWidth="1"/>
    <col min="7165" max="7165" width="12.875" style="32" bestFit="1" customWidth="1"/>
    <col min="7166" max="7166" width="0" style="32" hidden="1" customWidth="1"/>
    <col min="7167" max="7167" width="14.125" style="32" bestFit="1" customWidth="1"/>
    <col min="7168" max="7168" width="18.75" style="32" customWidth="1"/>
    <col min="7169" max="7169" width="10.125" style="32" customWidth="1"/>
    <col min="7170" max="7170" width="10.125" style="32" bestFit="1" customWidth="1"/>
    <col min="7171" max="7171" width="14" style="32" customWidth="1"/>
    <col min="7172" max="7172" width="18" style="32" bestFit="1" customWidth="1"/>
    <col min="7173" max="7173" width="8.125" style="32" bestFit="1" customWidth="1"/>
    <col min="7174" max="7416" width="9" style="32"/>
    <col min="7417" max="7417" width="6.5" style="32" bestFit="1" customWidth="1"/>
    <col min="7418" max="7418" width="7.125" style="32" customWidth="1"/>
    <col min="7419" max="7419" width="11.375" style="32" bestFit="1" customWidth="1"/>
    <col min="7420" max="7420" width="25.75" style="32" bestFit="1" customWidth="1"/>
    <col min="7421" max="7421" width="12.875" style="32" bestFit="1" customWidth="1"/>
    <col min="7422" max="7422" width="0" style="32" hidden="1" customWidth="1"/>
    <col min="7423" max="7423" width="14.125" style="32" bestFit="1" customWidth="1"/>
    <col min="7424" max="7424" width="18.75" style="32" customWidth="1"/>
    <col min="7425" max="7425" width="10.125" style="32" customWidth="1"/>
    <col min="7426" max="7426" width="10.125" style="32" bestFit="1" customWidth="1"/>
    <col min="7427" max="7427" width="14" style="32" customWidth="1"/>
    <col min="7428" max="7428" width="18" style="32" bestFit="1" customWidth="1"/>
    <col min="7429" max="7429" width="8.125" style="32" bestFit="1" customWidth="1"/>
    <col min="7430" max="7672" width="9" style="32"/>
    <col min="7673" max="7673" width="6.5" style="32" bestFit="1" customWidth="1"/>
    <col min="7674" max="7674" width="7.125" style="32" customWidth="1"/>
    <col min="7675" max="7675" width="11.375" style="32" bestFit="1" customWidth="1"/>
    <col min="7676" max="7676" width="25.75" style="32" bestFit="1" customWidth="1"/>
    <col min="7677" max="7677" width="12.875" style="32" bestFit="1" customWidth="1"/>
    <col min="7678" max="7678" width="0" style="32" hidden="1" customWidth="1"/>
    <col min="7679" max="7679" width="14.125" style="32" bestFit="1" customWidth="1"/>
    <col min="7680" max="7680" width="18.75" style="32" customWidth="1"/>
    <col min="7681" max="7681" width="10.125" style="32" customWidth="1"/>
    <col min="7682" max="7682" width="10.125" style="32" bestFit="1" customWidth="1"/>
    <col min="7683" max="7683" width="14" style="32" customWidth="1"/>
    <col min="7684" max="7684" width="18" style="32" bestFit="1" customWidth="1"/>
    <col min="7685" max="7685" width="8.125" style="32" bestFit="1" customWidth="1"/>
    <col min="7686" max="7928" width="9" style="32"/>
    <col min="7929" max="7929" width="6.5" style="32" bestFit="1" customWidth="1"/>
    <col min="7930" max="7930" width="7.125" style="32" customWidth="1"/>
    <col min="7931" max="7931" width="11.375" style="32" bestFit="1" customWidth="1"/>
    <col min="7932" max="7932" width="25.75" style="32" bestFit="1" customWidth="1"/>
    <col min="7933" max="7933" width="12.875" style="32" bestFit="1" customWidth="1"/>
    <col min="7934" max="7934" width="0" style="32" hidden="1" customWidth="1"/>
    <col min="7935" max="7935" width="14.125" style="32" bestFit="1" customWidth="1"/>
    <col min="7936" max="7936" width="18.75" style="32" customWidth="1"/>
    <col min="7937" max="7937" width="10.125" style="32" customWidth="1"/>
    <col min="7938" max="7938" width="10.125" style="32" bestFit="1" customWidth="1"/>
    <col min="7939" max="7939" width="14" style="32" customWidth="1"/>
    <col min="7940" max="7940" width="18" style="32" bestFit="1" customWidth="1"/>
    <col min="7941" max="7941" width="8.125" style="32" bestFit="1" customWidth="1"/>
    <col min="7942" max="8184" width="9" style="32"/>
    <col min="8185" max="8185" width="6.5" style="32" bestFit="1" customWidth="1"/>
    <col min="8186" max="8186" width="7.125" style="32" customWidth="1"/>
    <col min="8187" max="8187" width="11.375" style="32" bestFit="1" customWidth="1"/>
    <col min="8188" max="8188" width="25.75" style="32" bestFit="1" customWidth="1"/>
    <col min="8189" max="8189" width="12.875" style="32" bestFit="1" customWidth="1"/>
    <col min="8190" max="8190" width="0" style="32" hidden="1" customWidth="1"/>
    <col min="8191" max="8191" width="14.125" style="32" bestFit="1" customWidth="1"/>
    <col min="8192" max="8192" width="18.75" style="32" customWidth="1"/>
    <col min="8193" max="8193" width="10.125" style="32" customWidth="1"/>
    <col min="8194" max="8194" width="10.125" style="32" bestFit="1" customWidth="1"/>
    <col min="8195" max="8195" width="14" style="32" customWidth="1"/>
    <col min="8196" max="8196" width="18" style="32" bestFit="1" customWidth="1"/>
    <col min="8197" max="8197" width="8.125" style="32" bestFit="1" customWidth="1"/>
    <col min="8198" max="8440" width="9" style="32"/>
    <col min="8441" max="8441" width="6.5" style="32" bestFit="1" customWidth="1"/>
    <col min="8442" max="8442" width="7.125" style="32" customWidth="1"/>
    <col min="8443" max="8443" width="11.375" style="32" bestFit="1" customWidth="1"/>
    <col min="8444" max="8444" width="25.75" style="32" bestFit="1" customWidth="1"/>
    <col min="8445" max="8445" width="12.875" style="32" bestFit="1" customWidth="1"/>
    <col min="8446" max="8446" width="0" style="32" hidden="1" customWidth="1"/>
    <col min="8447" max="8447" width="14.125" style="32" bestFit="1" customWidth="1"/>
    <col min="8448" max="8448" width="18.75" style="32" customWidth="1"/>
    <col min="8449" max="8449" width="10.125" style="32" customWidth="1"/>
    <col min="8450" max="8450" width="10.125" style="32" bestFit="1" customWidth="1"/>
    <col min="8451" max="8451" width="14" style="32" customWidth="1"/>
    <col min="8452" max="8452" width="18" style="32" bestFit="1" customWidth="1"/>
    <col min="8453" max="8453" width="8.125" style="32" bestFit="1" customWidth="1"/>
    <col min="8454" max="8696" width="9" style="32"/>
    <col min="8697" max="8697" width="6.5" style="32" bestFit="1" customWidth="1"/>
    <col min="8698" max="8698" width="7.125" style="32" customWidth="1"/>
    <col min="8699" max="8699" width="11.375" style="32" bestFit="1" customWidth="1"/>
    <col min="8700" max="8700" width="25.75" style="32" bestFit="1" customWidth="1"/>
    <col min="8701" max="8701" width="12.875" style="32" bestFit="1" customWidth="1"/>
    <col min="8702" max="8702" width="0" style="32" hidden="1" customWidth="1"/>
    <col min="8703" max="8703" width="14.125" style="32" bestFit="1" customWidth="1"/>
    <col min="8704" max="8704" width="18.75" style="32" customWidth="1"/>
    <col min="8705" max="8705" width="10.125" style="32" customWidth="1"/>
    <col min="8706" max="8706" width="10.125" style="32" bestFit="1" customWidth="1"/>
    <col min="8707" max="8707" width="14" style="32" customWidth="1"/>
    <col min="8708" max="8708" width="18" style="32" bestFit="1" customWidth="1"/>
    <col min="8709" max="8709" width="8.125" style="32" bestFit="1" customWidth="1"/>
    <col min="8710" max="8952" width="9" style="32"/>
    <col min="8953" max="8953" width="6.5" style="32" bestFit="1" customWidth="1"/>
    <col min="8954" max="8954" width="7.125" style="32" customWidth="1"/>
    <col min="8955" max="8955" width="11.375" style="32" bestFit="1" customWidth="1"/>
    <col min="8956" max="8956" width="25.75" style="32" bestFit="1" customWidth="1"/>
    <col min="8957" max="8957" width="12.875" style="32" bestFit="1" customWidth="1"/>
    <col min="8958" max="8958" width="0" style="32" hidden="1" customWidth="1"/>
    <col min="8959" max="8959" width="14.125" style="32" bestFit="1" customWidth="1"/>
    <col min="8960" max="8960" width="18.75" style="32" customWidth="1"/>
    <col min="8961" max="8961" width="10.125" style="32" customWidth="1"/>
    <col min="8962" max="8962" width="10.125" style="32" bestFit="1" customWidth="1"/>
    <col min="8963" max="8963" width="14" style="32" customWidth="1"/>
    <col min="8964" max="8964" width="18" style="32" bestFit="1" customWidth="1"/>
    <col min="8965" max="8965" width="8.125" style="32" bestFit="1" customWidth="1"/>
    <col min="8966" max="9208" width="9" style="32"/>
    <col min="9209" max="9209" width="6.5" style="32" bestFit="1" customWidth="1"/>
    <col min="9210" max="9210" width="7.125" style="32" customWidth="1"/>
    <col min="9211" max="9211" width="11.375" style="32" bestFit="1" customWidth="1"/>
    <col min="9212" max="9212" width="25.75" style="32" bestFit="1" customWidth="1"/>
    <col min="9213" max="9213" width="12.875" style="32" bestFit="1" customWidth="1"/>
    <col min="9214" max="9214" width="0" style="32" hidden="1" customWidth="1"/>
    <col min="9215" max="9215" width="14.125" style="32" bestFit="1" customWidth="1"/>
    <col min="9216" max="9216" width="18.75" style="32" customWidth="1"/>
    <col min="9217" max="9217" width="10.125" style="32" customWidth="1"/>
    <col min="9218" max="9218" width="10.125" style="32" bestFit="1" customWidth="1"/>
    <col min="9219" max="9219" width="14" style="32" customWidth="1"/>
    <col min="9220" max="9220" width="18" style="32" bestFit="1" customWidth="1"/>
    <col min="9221" max="9221" width="8.125" style="32" bestFit="1" customWidth="1"/>
    <col min="9222" max="9464" width="9" style="32"/>
    <col min="9465" max="9465" width="6.5" style="32" bestFit="1" customWidth="1"/>
    <col min="9466" max="9466" width="7.125" style="32" customWidth="1"/>
    <col min="9467" max="9467" width="11.375" style="32" bestFit="1" customWidth="1"/>
    <col min="9468" max="9468" width="25.75" style="32" bestFit="1" customWidth="1"/>
    <col min="9469" max="9469" width="12.875" style="32" bestFit="1" customWidth="1"/>
    <col min="9470" max="9470" width="0" style="32" hidden="1" customWidth="1"/>
    <col min="9471" max="9471" width="14.125" style="32" bestFit="1" customWidth="1"/>
    <col min="9472" max="9472" width="18.75" style="32" customWidth="1"/>
    <col min="9473" max="9473" width="10.125" style="32" customWidth="1"/>
    <col min="9474" max="9474" width="10.125" style="32" bestFit="1" customWidth="1"/>
    <col min="9475" max="9475" width="14" style="32" customWidth="1"/>
    <col min="9476" max="9476" width="18" style="32" bestFit="1" customWidth="1"/>
    <col min="9477" max="9477" width="8.125" style="32" bestFit="1" customWidth="1"/>
    <col min="9478" max="9720" width="9" style="32"/>
    <col min="9721" max="9721" width="6.5" style="32" bestFit="1" customWidth="1"/>
    <col min="9722" max="9722" width="7.125" style="32" customWidth="1"/>
    <col min="9723" max="9723" width="11.375" style="32" bestFit="1" customWidth="1"/>
    <col min="9724" max="9724" width="25.75" style="32" bestFit="1" customWidth="1"/>
    <col min="9725" max="9725" width="12.875" style="32" bestFit="1" customWidth="1"/>
    <col min="9726" max="9726" width="0" style="32" hidden="1" customWidth="1"/>
    <col min="9727" max="9727" width="14.125" style="32" bestFit="1" customWidth="1"/>
    <col min="9728" max="9728" width="18.75" style="32" customWidth="1"/>
    <col min="9729" max="9729" width="10.125" style="32" customWidth="1"/>
    <col min="9730" max="9730" width="10.125" style="32" bestFit="1" customWidth="1"/>
    <col min="9731" max="9731" width="14" style="32" customWidth="1"/>
    <col min="9732" max="9732" width="18" style="32" bestFit="1" customWidth="1"/>
    <col min="9733" max="9733" width="8.125" style="32" bestFit="1" customWidth="1"/>
    <col min="9734" max="9976" width="9" style="32"/>
    <col min="9977" max="9977" width="6.5" style="32" bestFit="1" customWidth="1"/>
    <col min="9978" max="9978" width="7.125" style="32" customWidth="1"/>
    <col min="9979" max="9979" width="11.375" style="32" bestFit="1" customWidth="1"/>
    <col min="9980" max="9980" width="25.75" style="32" bestFit="1" customWidth="1"/>
    <col min="9981" max="9981" width="12.875" style="32" bestFit="1" customWidth="1"/>
    <col min="9982" max="9982" width="0" style="32" hidden="1" customWidth="1"/>
    <col min="9983" max="9983" width="14.125" style="32" bestFit="1" customWidth="1"/>
    <col min="9984" max="9984" width="18.75" style="32" customWidth="1"/>
    <col min="9985" max="9985" width="10.125" style="32" customWidth="1"/>
    <col min="9986" max="9986" width="10.125" style="32" bestFit="1" customWidth="1"/>
    <col min="9987" max="9987" width="14" style="32" customWidth="1"/>
    <col min="9988" max="9988" width="18" style="32" bestFit="1" customWidth="1"/>
    <col min="9989" max="9989" width="8.125" style="32" bestFit="1" customWidth="1"/>
    <col min="9990" max="10232" width="9" style="32"/>
    <col min="10233" max="10233" width="6.5" style="32" bestFit="1" customWidth="1"/>
    <col min="10234" max="10234" width="7.125" style="32" customWidth="1"/>
    <col min="10235" max="10235" width="11.375" style="32" bestFit="1" customWidth="1"/>
    <col min="10236" max="10236" width="25.75" style="32" bestFit="1" customWidth="1"/>
    <col min="10237" max="10237" width="12.875" style="32" bestFit="1" customWidth="1"/>
    <col min="10238" max="10238" width="0" style="32" hidden="1" customWidth="1"/>
    <col min="10239" max="10239" width="14.125" style="32" bestFit="1" customWidth="1"/>
    <col min="10240" max="10240" width="18.75" style="32" customWidth="1"/>
    <col min="10241" max="10241" width="10.125" style="32" customWidth="1"/>
    <col min="10242" max="10242" width="10.125" style="32" bestFit="1" customWidth="1"/>
    <col min="10243" max="10243" width="14" style="32" customWidth="1"/>
    <col min="10244" max="10244" width="18" style="32" bestFit="1" customWidth="1"/>
    <col min="10245" max="10245" width="8.125" style="32" bestFit="1" customWidth="1"/>
    <col min="10246" max="10488" width="9" style="32"/>
    <col min="10489" max="10489" width="6.5" style="32" bestFit="1" customWidth="1"/>
    <col min="10490" max="10490" width="7.125" style="32" customWidth="1"/>
    <col min="10491" max="10491" width="11.375" style="32" bestFit="1" customWidth="1"/>
    <col min="10492" max="10492" width="25.75" style="32" bestFit="1" customWidth="1"/>
    <col min="10493" max="10493" width="12.875" style="32" bestFit="1" customWidth="1"/>
    <col min="10494" max="10494" width="0" style="32" hidden="1" customWidth="1"/>
    <col min="10495" max="10495" width="14.125" style="32" bestFit="1" customWidth="1"/>
    <col min="10496" max="10496" width="18.75" style="32" customWidth="1"/>
    <col min="10497" max="10497" width="10.125" style="32" customWidth="1"/>
    <col min="10498" max="10498" width="10.125" style="32" bestFit="1" customWidth="1"/>
    <col min="10499" max="10499" width="14" style="32" customWidth="1"/>
    <col min="10500" max="10500" width="18" style="32" bestFit="1" customWidth="1"/>
    <col min="10501" max="10501" width="8.125" style="32" bestFit="1" customWidth="1"/>
    <col min="10502" max="10744" width="9" style="32"/>
    <col min="10745" max="10745" width="6.5" style="32" bestFit="1" customWidth="1"/>
    <col min="10746" max="10746" width="7.125" style="32" customWidth="1"/>
    <col min="10747" max="10747" width="11.375" style="32" bestFit="1" customWidth="1"/>
    <col min="10748" max="10748" width="25.75" style="32" bestFit="1" customWidth="1"/>
    <col min="10749" max="10749" width="12.875" style="32" bestFit="1" customWidth="1"/>
    <col min="10750" max="10750" width="0" style="32" hidden="1" customWidth="1"/>
    <col min="10751" max="10751" width="14.125" style="32" bestFit="1" customWidth="1"/>
    <col min="10752" max="10752" width="18.75" style="32" customWidth="1"/>
    <col min="10753" max="10753" width="10.125" style="32" customWidth="1"/>
    <col min="10754" max="10754" width="10.125" style="32" bestFit="1" customWidth="1"/>
    <col min="10755" max="10755" width="14" style="32" customWidth="1"/>
    <col min="10756" max="10756" width="18" style="32" bestFit="1" customWidth="1"/>
    <col min="10757" max="10757" width="8.125" style="32" bestFit="1" customWidth="1"/>
    <col min="10758" max="11000" width="9" style="32"/>
    <col min="11001" max="11001" width="6.5" style="32" bestFit="1" customWidth="1"/>
    <col min="11002" max="11002" width="7.125" style="32" customWidth="1"/>
    <col min="11003" max="11003" width="11.375" style="32" bestFit="1" customWidth="1"/>
    <col min="11004" max="11004" width="25.75" style="32" bestFit="1" customWidth="1"/>
    <col min="11005" max="11005" width="12.875" style="32" bestFit="1" customWidth="1"/>
    <col min="11006" max="11006" width="0" style="32" hidden="1" customWidth="1"/>
    <col min="11007" max="11007" width="14.125" style="32" bestFit="1" customWidth="1"/>
    <col min="11008" max="11008" width="18.75" style="32" customWidth="1"/>
    <col min="11009" max="11009" width="10.125" style="32" customWidth="1"/>
    <col min="11010" max="11010" width="10.125" style="32" bestFit="1" customWidth="1"/>
    <col min="11011" max="11011" width="14" style="32" customWidth="1"/>
    <col min="11012" max="11012" width="18" style="32" bestFit="1" customWidth="1"/>
    <col min="11013" max="11013" width="8.125" style="32" bestFit="1" customWidth="1"/>
    <col min="11014" max="11256" width="9" style="32"/>
    <col min="11257" max="11257" width="6.5" style="32" bestFit="1" customWidth="1"/>
    <col min="11258" max="11258" width="7.125" style="32" customWidth="1"/>
    <col min="11259" max="11259" width="11.375" style="32" bestFit="1" customWidth="1"/>
    <col min="11260" max="11260" width="25.75" style="32" bestFit="1" customWidth="1"/>
    <col min="11261" max="11261" width="12.875" style="32" bestFit="1" customWidth="1"/>
    <col min="11262" max="11262" width="0" style="32" hidden="1" customWidth="1"/>
    <col min="11263" max="11263" width="14.125" style="32" bestFit="1" customWidth="1"/>
    <col min="11264" max="11264" width="18.75" style="32" customWidth="1"/>
    <col min="11265" max="11265" width="10.125" style="32" customWidth="1"/>
    <col min="11266" max="11266" width="10.125" style="32" bestFit="1" customWidth="1"/>
    <col min="11267" max="11267" width="14" style="32" customWidth="1"/>
    <col min="11268" max="11268" width="18" style="32" bestFit="1" customWidth="1"/>
    <col min="11269" max="11269" width="8.125" style="32" bestFit="1" customWidth="1"/>
    <col min="11270" max="11512" width="9" style="32"/>
    <col min="11513" max="11513" width="6.5" style="32" bestFit="1" customWidth="1"/>
    <col min="11514" max="11514" width="7.125" style="32" customWidth="1"/>
    <col min="11515" max="11515" width="11.375" style="32" bestFit="1" customWidth="1"/>
    <col min="11516" max="11516" width="25.75" style="32" bestFit="1" customWidth="1"/>
    <col min="11517" max="11517" width="12.875" style="32" bestFit="1" customWidth="1"/>
    <col min="11518" max="11518" width="0" style="32" hidden="1" customWidth="1"/>
    <col min="11519" max="11519" width="14.125" style="32" bestFit="1" customWidth="1"/>
    <col min="11520" max="11520" width="18.75" style="32" customWidth="1"/>
    <col min="11521" max="11521" width="10.125" style="32" customWidth="1"/>
    <col min="11522" max="11522" width="10.125" style="32" bestFit="1" customWidth="1"/>
    <col min="11523" max="11523" width="14" style="32" customWidth="1"/>
    <col min="11524" max="11524" width="18" style="32" bestFit="1" customWidth="1"/>
    <col min="11525" max="11525" width="8.125" style="32" bestFit="1" customWidth="1"/>
    <col min="11526" max="11768" width="9" style="32"/>
    <col min="11769" max="11769" width="6.5" style="32" bestFit="1" customWidth="1"/>
    <col min="11770" max="11770" width="7.125" style="32" customWidth="1"/>
    <col min="11771" max="11771" width="11.375" style="32" bestFit="1" customWidth="1"/>
    <col min="11772" max="11772" width="25.75" style="32" bestFit="1" customWidth="1"/>
    <col min="11773" max="11773" width="12.875" style="32" bestFit="1" customWidth="1"/>
    <col min="11774" max="11774" width="0" style="32" hidden="1" customWidth="1"/>
    <col min="11775" max="11775" width="14.125" style="32" bestFit="1" customWidth="1"/>
    <col min="11776" max="11776" width="18.75" style="32" customWidth="1"/>
    <col min="11777" max="11777" width="10.125" style="32" customWidth="1"/>
    <col min="11778" max="11778" width="10.125" style="32" bestFit="1" customWidth="1"/>
    <col min="11779" max="11779" width="14" style="32" customWidth="1"/>
    <col min="11780" max="11780" width="18" style="32" bestFit="1" customWidth="1"/>
    <col min="11781" max="11781" width="8.125" style="32" bestFit="1" customWidth="1"/>
    <col min="11782" max="12024" width="9" style="32"/>
    <col min="12025" max="12025" width="6.5" style="32" bestFit="1" customWidth="1"/>
    <col min="12026" max="12026" width="7.125" style="32" customWidth="1"/>
    <col min="12027" max="12027" width="11.375" style="32" bestFit="1" customWidth="1"/>
    <col min="12028" max="12028" width="25.75" style="32" bestFit="1" customWidth="1"/>
    <col min="12029" max="12029" width="12.875" style="32" bestFit="1" customWidth="1"/>
    <col min="12030" max="12030" width="0" style="32" hidden="1" customWidth="1"/>
    <col min="12031" max="12031" width="14.125" style="32" bestFit="1" customWidth="1"/>
    <col min="12032" max="12032" width="18.75" style="32" customWidth="1"/>
    <col min="12033" max="12033" width="10.125" style="32" customWidth="1"/>
    <col min="12034" max="12034" width="10.125" style="32" bestFit="1" customWidth="1"/>
    <col min="12035" max="12035" width="14" style="32" customWidth="1"/>
    <col min="12036" max="12036" width="18" style="32" bestFit="1" customWidth="1"/>
    <col min="12037" max="12037" width="8.125" style="32" bestFit="1" customWidth="1"/>
    <col min="12038" max="12280" width="9" style="32"/>
    <col min="12281" max="12281" width="6.5" style="32" bestFit="1" customWidth="1"/>
    <col min="12282" max="12282" width="7.125" style="32" customWidth="1"/>
    <col min="12283" max="12283" width="11.375" style="32" bestFit="1" customWidth="1"/>
    <col min="12284" max="12284" width="25.75" style="32" bestFit="1" customWidth="1"/>
    <col min="12285" max="12285" width="12.875" style="32" bestFit="1" customWidth="1"/>
    <col min="12286" max="12286" width="0" style="32" hidden="1" customWidth="1"/>
    <col min="12287" max="12287" width="14.125" style="32" bestFit="1" customWidth="1"/>
    <col min="12288" max="12288" width="18.75" style="32" customWidth="1"/>
    <col min="12289" max="12289" width="10.125" style="32" customWidth="1"/>
    <col min="12290" max="12290" width="10.125" style="32" bestFit="1" customWidth="1"/>
    <col min="12291" max="12291" width="14" style="32" customWidth="1"/>
    <col min="12292" max="12292" width="18" style="32" bestFit="1" customWidth="1"/>
    <col min="12293" max="12293" width="8.125" style="32" bestFit="1" customWidth="1"/>
    <col min="12294" max="12536" width="9" style="32"/>
    <col min="12537" max="12537" width="6.5" style="32" bestFit="1" customWidth="1"/>
    <col min="12538" max="12538" width="7.125" style="32" customWidth="1"/>
    <col min="12539" max="12539" width="11.375" style="32" bestFit="1" customWidth="1"/>
    <col min="12540" max="12540" width="25.75" style="32" bestFit="1" customWidth="1"/>
    <col min="12541" max="12541" width="12.875" style="32" bestFit="1" customWidth="1"/>
    <col min="12542" max="12542" width="0" style="32" hidden="1" customWidth="1"/>
    <col min="12543" max="12543" width="14.125" style="32" bestFit="1" customWidth="1"/>
    <col min="12544" max="12544" width="18.75" style="32" customWidth="1"/>
    <col min="12545" max="12545" width="10.125" style="32" customWidth="1"/>
    <col min="12546" max="12546" width="10.125" style="32" bestFit="1" customWidth="1"/>
    <col min="12547" max="12547" width="14" style="32" customWidth="1"/>
    <col min="12548" max="12548" width="18" style="32" bestFit="1" customWidth="1"/>
    <col min="12549" max="12549" width="8.125" style="32" bestFit="1" customWidth="1"/>
    <col min="12550" max="12792" width="9" style="32"/>
    <col min="12793" max="12793" width="6.5" style="32" bestFit="1" customWidth="1"/>
    <col min="12794" max="12794" width="7.125" style="32" customWidth="1"/>
    <col min="12795" max="12795" width="11.375" style="32" bestFit="1" customWidth="1"/>
    <col min="12796" max="12796" width="25.75" style="32" bestFit="1" customWidth="1"/>
    <col min="12797" max="12797" width="12.875" style="32" bestFit="1" customWidth="1"/>
    <col min="12798" max="12798" width="0" style="32" hidden="1" customWidth="1"/>
    <col min="12799" max="12799" width="14.125" style="32" bestFit="1" customWidth="1"/>
    <col min="12800" max="12800" width="18.75" style="32" customWidth="1"/>
    <col min="12801" max="12801" width="10.125" style="32" customWidth="1"/>
    <col min="12802" max="12802" width="10.125" style="32" bestFit="1" customWidth="1"/>
    <col min="12803" max="12803" width="14" style="32" customWidth="1"/>
    <col min="12804" max="12804" width="18" style="32" bestFit="1" customWidth="1"/>
    <col min="12805" max="12805" width="8.125" style="32" bestFit="1" customWidth="1"/>
    <col min="12806" max="13048" width="9" style="32"/>
    <col min="13049" max="13049" width="6.5" style="32" bestFit="1" customWidth="1"/>
    <col min="13050" max="13050" width="7.125" style="32" customWidth="1"/>
    <col min="13051" max="13051" width="11.375" style="32" bestFit="1" customWidth="1"/>
    <col min="13052" max="13052" width="25.75" style="32" bestFit="1" customWidth="1"/>
    <col min="13053" max="13053" width="12.875" style="32" bestFit="1" customWidth="1"/>
    <col min="13054" max="13054" width="0" style="32" hidden="1" customWidth="1"/>
    <col min="13055" max="13055" width="14.125" style="32" bestFit="1" customWidth="1"/>
    <col min="13056" max="13056" width="18.75" style="32" customWidth="1"/>
    <col min="13057" max="13057" width="10.125" style="32" customWidth="1"/>
    <col min="13058" max="13058" width="10.125" style="32" bestFit="1" customWidth="1"/>
    <col min="13059" max="13059" width="14" style="32" customWidth="1"/>
    <col min="13060" max="13060" width="18" style="32" bestFit="1" customWidth="1"/>
    <col min="13061" max="13061" width="8.125" style="32" bestFit="1" customWidth="1"/>
    <col min="13062" max="13304" width="9" style="32"/>
    <col min="13305" max="13305" width="6.5" style="32" bestFit="1" customWidth="1"/>
    <col min="13306" max="13306" width="7.125" style="32" customWidth="1"/>
    <col min="13307" max="13307" width="11.375" style="32" bestFit="1" customWidth="1"/>
    <col min="13308" max="13308" width="25.75" style="32" bestFit="1" customWidth="1"/>
    <col min="13309" max="13309" width="12.875" style="32" bestFit="1" customWidth="1"/>
    <col min="13310" max="13310" width="0" style="32" hidden="1" customWidth="1"/>
    <col min="13311" max="13311" width="14.125" style="32" bestFit="1" customWidth="1"/>
    <col min="13312" max="13312" width="18.75" style="32" customWidth="1"/>
    <col min="13313" max="13313" width="10.125" style="32" customWidth="1"/>
    <col min="13314" max="13314" width="10.125" style="32" bestFit="1" customWidth="1"/>
    <col min="13315" max="13315" width="14" style="32" customWidth="1"/>
    <col min="13316" max="13316" width="18" style="32" bestFit="1" customWidth="1"/>
    <col min="13317" max="13317" width="8.125" style="32" bestFit="1" customWidth="1"/>
    <col min="13318" max="13560" width="9" style="32"/>
    <col min="13561" max="13561" width="6.5" style="32" bestFit="1" customWidth="1"/>
    <col min="13562" max="13562" width="7.125" style="32" customWidth="1"/>
    <col min="13563" max="13563" width="11.375" style="32" bestFit="1" customWidth="1"/>
    <col min="13564" max="13564" width="25.75" style="32" bestFit="1" customWidth="1"/>
    <col min="13565" max="13565" width="12.875" style="32" bestFit="1" customWidth="1"/>
    <col min="13566" max="13566" width="0" style="32" hidden="1" customWidth="1"/>
    <col min="13567" max="13567" width="14.125" style="32" bestFit="1" customWidth="1"/>
    <col min="13568" max="13568" width="18.75" style="32" customWidth="1"/>
    <col min="13569" max="13569" width="10.125" style="32" customWidth="1"/>
    <col min="13570" max="13570" width="10.125" style="32" bestFit="1" customWidth="1"/>
    <col min="13571" max="13571" width="14" style="32" customWidth="1"/>
    <col min="13572" max="13572" width="18" style="32" bestFit="1" customWidth="1"/>
    <col min="13573" max="13573" width="8.125" style="32" bestFit="1" customWidth="1"/>
    <col min="13574" max="13816" width="9" style="32"/>
    <col min="13817" max="13817" width="6.5" style="32" bestFit="1" customWidth="1"/>
    <col min="13818" max="13818" width="7.125" style="32" customWidth="1"/>
    <col min="13819" max="13819" width="11.375" style="32" bestFit="1" customWidth="1"/>
    <col min="13820" max="13820" width="25.75" style="32" bestFit="1" customWidth="1"/>
    <col min="13821" max="13821" width="12.875" style="32" bestFit="1" customWidth="1"/>
    <col min="13822" max="13822" width="0" style="32" hidden="1" customWidth="1"/>
    <col min="13823" max="13823" width="14.125" style="32" bestFit="1" customWidth="1"/>
    <col min="13824" max="13824" width="18.75" style="32" customWidth="1"/>
    <col min="13825" max="13825" width="10.125" style="32" customWidth="1"/>
    <col min="13826" max="13826" width="10.125" style="32" bestFit="1" customWidth="1"/>
    <col min="13827" max="13827" width="14" style="32" customWidth="1"/>
    <col min="13828" max="13828" width="18" style="32" bestFit="1" customWidth="1"/>
    <col min="13829" max="13829" width="8.125" style="32" bestFit="1" customWidth="1"/>
    <col min="13830" max="14072" width="9" style="32"/>
    <col min="14073" max="14073" width="6.5" style="32" bestFit="1" customWidth="1"/>
    <col min="14074" max="14074" width="7.125" style="32" customWidth="1"/>
    <col min="14075" max="14075" width="11.375" style="32" bestFit="1" customWidth="1"/>
    <col min="14076" max="14076" width="25.75" style="32" bestFit="1" customWidth="1"/>
    <col min="14077" max="14077" width="12.875" style="32" bestFit="1" customWidth="1"/>
    <col min="14078" max="14078" width="0" style="32" hidden="1" customWidth="1"/>
    <col min="14079" max="14079" width="14.125" style="32" bestFit="1" customWidth="1"/>
    <col min="14080" max="14080" width="18.75" style="32" customWidth="1"/>
    <col min="14081" max="14081" width="10.125" style="32" customWidth="1"/>
    <col min="14082" max="14082" width="10.125" style="32" bestFit="1" customWidth="1"/>
    <col min="14083" max="14083" width="14" style="32" customWidth="1"/>
    <col min="14084" max="14084" width="18" style="32" bestFit="1" customWidth="1"/>
    <col min="14085" max="14085" width="8.125" style="32" bestFit="1" customWidth="1"/>
    <col min="14086" max="14328" width="9" style="32"/>
    <col min="14329" max="14329" width="6.5" style="32" bestFit="1" customWidth="1"/>
    <col min="14330" max="14330" width="7.125" style="32" customWidth="1"/>
    <col min="14331" max="14331" width="11.375" style="32" bestFit="1" customWidth="1"/>
    <col min="14332" max="14332" width="25.75" style="32" bestFit="1" customWidth="1"/>
    <col min="14333" max="14333" width="12.875" style="32" bestFit="1" customWidth="1"/>
    <col min="14334" max="14334" width="0" style="32" hidden="1" customWidth="1"/>
    <col min="14335" max="14335" width="14.125" style="32" bestFit="1" customWidth="1"/>
    <col min="14336" max="14336" width="18.75" style="32" customWidth="1"/>
    <col min="14337" max="14337" width="10.125" style="32" customWidth="1"/>
    <col min="14338" max="14338" width="10.125" style="32" bestFit="1" customWidth="1"/>
    <col min="14339" max="14339" width="14" style="32" customWidth="1"/>
    <col min="14340" max="14340" width="18" style="32" bestFit="1" customWidth="1"/>
    <col min="14341" max="14341" width="8.125" style="32" bestFit="1" customWidth="1"/>
    <col min="14342" max="14584" width="9" style="32"/>
    <col min="14585" max="14585" width="6.5" style="32" bestFit="1" customWidth="1"/>
    <col min="14586" max="14586" width="7.125" style="32" customWidth="1"/>
    <col min="14587" max="14587" width="11.375" style="32" bestFit="1" customWidth="1"/>
    <col min="14588" max="14588" width="25.75" style="32" bestFit="1" customWidth="1"/>
    <col min="14589" max="14589" width="12.875" style="32" bestFit="1" customWidth="1"/>
    <col min="14590" max="14590" width="0" style="32" hidden="1" customWidth="1"/>
    <col min="14591" max="14591" width="14.125" style="32" bestFit="1" customWidth="1"/>
    <col min="14592" max="14592" width="18.75" style="32" customWidth="1"/>
    <col min="14593" max="14593" width="10.125" style="32" customWidth="1"/>
    <col min="14594" max="14594" width="10.125" style="32" bestFit="1" customWidth="1"/>
    <col min="14595" max="14595" width="14" style="32" customWidth="1"/>
    <col min="14596" max="14596" width="18" style="32" bestFit="1" customWidth="1"/>
    <col min="14597" max="14597" width="8.125" style="32" bestFit="1" customWidth="1"/>
    <col min="14598" max="14840" width="9" style="32"/>
    <col min="14841" max="14841" width="6.5" style="32" bestFit="1" customWidth="1"/>
    <col min="14842" max="14842" width="7.125" style="32" customWidth="1"/>
    <col min="14843" max="14843" width="11.375" style="32" bestFit="1" customWidth="1"/>
    <col min="14844" max="14844" width="25.75" style="32" bestFit="1" customWidth="1"/>
    <col min="14845" max="14845" width="12.875" style="32" bestFit="1" customWidth="1"/>
    <col min="14846" max="14846" width="0" style="32" hidden="1" customWidth="1"/>
    <col min="14847" max="14847" width="14.125" style="32" bestFit="1" customWidth="1"/>
    <col min="14848" max="14848" width="18.75" style="32" customWidth="1"/>
    <col min="14849" max="14849" width="10.125" style="32" customWidth="1"/>
    <col min="14850" max="14850" width="10.125" style="32" bestFit="1" customWidth="1"/>
    <col min="14851" max="14851" width="14" style="32" customWidth="1"/>
    <col min="14852" max="14852" width="18" style="32" bestFit="1" customWidth="1"/>
    <col min="14853" max="14853" width="8.125" style="32" bestFit="1" customWidth="1"/>
    <col min="14854" max="15096" width="9" style="32"/>
    <col min="15097" max="15097" width="6.5" style="32" bestFit="1" customWidth="1"/>
    <col min="15098" max="15098" width="7.125" style="32" customWidth="1"/>
    <col min="15099" max="15099" width="11.375" style="32" bestFit="1" customWidth="1"/>
    <col min="15100" max="15100" width="25.75" style="32" bestFit="1" customWidth="1"/>
    <col min="15101" max="15101" width="12.875" style="32" bestFit="1" customWidth="1"/>
    <col min="15102" max="15102" width="0" style="32" hidden="1" customWidth="1"/>
    <col min="15103" max="15103" width="14.125" style="32" bestFit="1" customWidth="1"/>
    <col min="15104" max="15104" width="18.75" style="32" customWidth="1"/>
    <col min="15105" max="15105" width="10.125" style="32" customWidth="1"/>
    <col min="15106" max="15106" width="10.125" style="32" bestFit="1" customWidth="1"/>
    <col min="15107" max="15107" width="14" style="32" customWidth="1"/>
    <col min="15108" max="15108" width="18" style="32" bestFit="1" customWidth="1"/>
    <col min="15109" max="15109" width="8.125" style="32" bestFit="1" customWidth="1"/>
    <col min="15110" max="15352" width="9" style="32"/>
    <col min="15353" max="15353" width="6.5" style="32" bestFit="1" customWidth="1"/>
    <col min="15354" max="15354" width="7.125" style="32" customWidth="1"/>
    <col min="15355" max="15355" width="11.375" style="32" bestFit="1" customWidth="1"/>
    <col min="15356" max="15356" width="25.75" style="32" bestFit="1" customWidth="1"/>
    <col min="15357" max="15357" width="12.875" style="32" bestFit="1" customWidth="1"/>
    <col min="15358" max="15358" width="0" style="32" hidden="1" customWidth="1"/>
    <col min="15359" max="15359" width="14.125" style="32" bestFit="1" customWidth="1"/>
    <col min="15360" max="15360" width="18.75" style="32" customWidth="1"/>
    <col min="15361" max="15361" width="10.125" style="32" customWidth="1"/>
    <col min="15362" max="15362" width="10.125" style="32" bestFit="1" customWidth="1"/>
    <col min="15363" max="15363" width="14" style="32" customWidth="1"/>
    <col min="15364" max="15364" width="18" style="32" bestFit="1" customWidth="1"/>
    <col min="15365" max="15365" width="8.125" style="32" bestFit="1" customWidth="1"/>
    <col min="15366" max="15608" width="9" style="32"/>
    <col min="15609" max="15609" width="6.5" style="32" bestFit="1" customWidth="1"/>
    <col min="15610" max="15610" width="7.125" style="32" customWidth="1"/>
    <col min="15611" max="15611" width="11.375" style="32" bestFit="1" customWidth="1"/>
    <col min="15612" max="15612" width="25.75" style="32" bestFit="1" customWidth="1"/>
    <col min="15613" max="15613" width="12.875" style="32" bestFit="1" customWidth="1"/>
    <col min="15614" max="15614" width="0" style="32" hidden="1" customWidth="1"/>
    <col min="15615" max="15615" width="14.125" style="32" bestFit="1" customWidth="1"/>
    <col min="15616" max="15616" width="18.75" style="32" customWidth="1"/>
    <col min="15617" max="15617" width="10.125" style="32" customWidth="1"/>
    <col min="15618" max="15618" width="10.125" style="32" bestFit="1" customWidth="1"/>
    <col min="15619" max="15619" width="14" style="32" customWidth="1"/>
    <col min="15620" max="15620" width="18" style="32" bestFit="1" customWidth="1"/>
    <col min="15621" max="15621" width="8.125" style="32" bestFit="1" customWidth="1"/>
    <col min="15622" max="15864" width="9" style="32"/>
    <col min="15865" max="15865" width="6.5" style="32" bestFit="1" customWidth="1"/>
    <col min="15866" max="15866" width="7.125" style="32" customWidth="1"/>
    <col min="15867" max="15867" width="11.375" style="32" bestFit="1" customWidth="1"/>
    <col min="15868" max="15868" width="25.75" style="32" bestFit="1" customWidth="1"/>
    <col min="15869" max="15869" width="12.875" style="32" bestFit="1" customWidth="1"/>
    <col min="15870" max="15870" width="0" style="32" hidden="1" customWidth="1"/>
    <col min="15871" max="15871" width="14.125" style="32" bestFit="1" customWidth="1"/>
    <col min="15872" max="15872" width="18.75" style="32" customWidth="1"/>
    <col min="15873" max="15873" width="10.125" style="32" customWidth="1"/>
    <col min="15874" max="15874" width="10.125" style="32" bestFit="1" customWidth="1"/>
    <col min="15875" max="15875" width="14" style="32" customWidth="1"/>
    <col min="15876" max="15876" width="18" style="32" bestFit="1" customWidth="1"/>
    <col min="15877" max="15877" width="8.125" style="32" bestFit="1" customWidth="1"/>
    <col min="15878" max="16120" width="9" style="32"/>
    <col min="16121" max="16121" width="6.5" style="32" bestFit="1" customWidth="1"/>
    <col min="16122" max="16122" width="7.125" style="32" customWidth="1"/>
    <col min="16123" max="16123" width="11.375" style="32" bestFit="1" customWidth="1"/>
    <col min="16124" max="16124" width="25.75" style="32" bestFit="1" customWidth="1"/>
    <col min="16125" max="16125" width="12.875" style="32" bestFit="1" customWidth="1"/>
    <col min="16126" max="16126" width="0" style="32" hidden="1" customWidth="1"/>
    <col min="16127" max="16127" width="14.125" style="32" bestFit="1" customWidth="1"/>
    <col min="16128" max="16128" width="18.75" style="32" customWidth="1"/>
    <col min="16129" max="16129" width="10.125" style="32" customWidth="1"/>
    <col min="16130" max="16130" width="10.125" style="32" bestFit="1" customWidth="1"/>
    <col min="16131" max="16131" width="14" style="32" customWidth="1"/>
    <col min="16132" max="16132" width="18" style="32" bestFit="1" customWidth="1"/>
    <col min="16133" max="16133" width="8.125" style="32" bestFit="1" customWidth="1"/>
    <col min="16134" max="16384" width="9" style="32"/>
  </cols>
  <sheetData>
    <row r="1" spans="1:8" ht="29.25">
      <c r="A1" s="14" t="s">
        <v>43</v>
      </c>
      <c r="B1" s="93" t="s">
        <v>497</v>
      </c>
      <c r="C1" s="15" t="s">
        <v>0</v>
      </c>
      <c r="D1" s="16" t="s">
        <v>1</v>
      </c>
      <c r="E1" s="16" t="s">
        <v>2</v>
      </c>
      <c r="F1" s="16" t="s">
        <v>3</v>
      </c>
      <c r="G1" s="17" t="s">
        <v>4</v>
      </c>
      <c r="H1" s="18" t="s">
        <v>22</v>
      </c>
    </row>
    <row r="2" spans="1:8">
      <c r="A2" s="19">
        <v>1611000110</v>
      </c>
      <c r="B2" s="94" t="str">
        <f>MID(A2,8,3)</f>
        <v>110</v>
      </c>
      <c r="C2" s="20" t="s">
        <v>159</v>
      </c>
      <c r="D2" s="21">
        <v>129280</v>
      </c>
      <c r="E2" s="22">
        <v>114859.31</v>
      </c>
      <c r="F2" s="23">
        <f>[1]שכר!G2</f>
        <v>135495.31</v>
      </c>
      <c r="G2" s="21">
        <f>[1]שכר!J2</f>
        <v>139000</v>
      </c>
      <c r="H2" s="37">
        <f>[1]שכר!K2/100</f>
        <v>1</v>
      </c>
    </row>
    <row r="3" spans="1:8">
      <c r="A3" s="19">
        <v>1611000430</v>
      </c>
      <c r="B3" s="94" t="str">
        <f t="shared" ref="B3:B66" si="0">MID(A3,8,3)</f>
        <v>430</v>
      </c>
      <c r="C3" s="20" t="s">
        <v>160</v>
      </c>
      <c r="D3" s="21">
        <v>70000</v>
      </c>
      <c r="E3" s="23">
        <v>21277.61</v>
      </c>
      <c r="F3" s="23">
        <f>E3/10*12</f>
        <v>25533.131999999998</v>
      </c>
      <c r="G3" s="23">
        <v>26000</v>
      </c>
      <c r="H3" s="25"/>
    </row>
    <row r="4" spans="1:8">
      <c r="A4" s="19">
        <v>1611000440</v>
      </c>
      <c r="B4" s="94" t="str">
        <f t="shared" si="0"/>
        <v>440</v>
      </c>
      <c r="C4" s="20" t="s">
        <v>161</v>
      </c>
      <c r="D4" s="21">
        <v>250000</v>
      </c>
      <c r="E4" s="23">
        <v>355449</v>
      </c>
      <c r="F4" s="23">
        <v>300000</v>
      </c>
      <c r="G4" s="23">
        <v>300000</v>
      </c>
      <c r="H4" s="25"/>
    </row>
    <row r="5" spans="1:8">
      <c r="A5" s="19">
        <v>1611000511</v>
      </c>
      <c r="B5" s="94" t="str">
        <f t="shared" si="0"/>
        <v>511</v>
      </c>
      <c r="C5" s="20" t="s">
        <v>162</v>
      </c>
      <c r="D5" s="21">
        <v>15000</v>
      </c>
      <c r="E5" s="23">
        <v>6410</v>
      </c>
      <c r="F5" s="23">
        <f>E5/10*12+1000</f>
        <v>8692</v>
      </c>
      <c r="G5" s="23">
        <v>10000</v>
      </c>
      <c r="H5" s="25"/>
    </row>
    <row r="6" spans="1:8">
      <c r="A6" s="19">
        <v>1611000521</v>
      </c>
      <c r="B6" s="94" t="str">
        <f t="shared" si="0"/>
        <v>521</v>
      </c>
      <c r="C6" s="20" t="s">
        <v>163</v>
      </c>
      <c r="D6" s="21">
        <v>15000</v>
      </c>
      <c r="E6" s="23">
        <v>15200</v>
      </c>
      <c r="F6" s="23">
        <v>15200</v>
      </c>
      <c r="G6" s="23">
        <v>15200</v>
      </c>
      <c r="H6" s="25"/>
    </row>
    <row r="7" spans="1:8">
      <c r="A7" s="19">
        <v>1611000522</v>
      </c>
      <c r="B7" s="94" t="str">
        <f t="shared" si="0"/>
        <v>522</v>
      </c>
      <c r="C7" s="20" t="s">
        <v>164</v>
      </c>
      <c r="D7" s="21">
        <v>1000</v>
      </c>
      <c r="E7" s="23">
        <v>0</v>
      </c>
      <c r="F7" s="23">
        <f>E7/10*12</f>
        <v>0</v>
      </c>
      <c r="G7" s="23">
        <f>D7-E7</f>
        <v>1000</v>
      </c>
      <c r="H7" s="25"/>
    </row>
    <row r="8" spans="1:8">
      <c r="A8" s="19">
        <v>1611000540</v>
      </c>
      <c r="B8" s="94" t="str">
        <f t="shared" si="0"/>
        <v>540</v>
      </c>
      <c r="C8" s="20" t="s">
        <v>165</v>
      </c>
      <c r="D8" s="21">
        <v>55000</v>
      </c>
      <c r="E8" s="23">
        <v>66638.55</v>
      </c>
      <c r="F8" s="26">
        <f>E8/10*12-10000</f>
        <v>69966.260000000009</v>
      </c>
      <c r="G8" s="23">
        <v>70000</v>
      </c>
      <c r="H8" s="25"/>
    </row>
    <row r="9" spans="1:8">
      <c r="A9" s="19">
        <v>1611000550</v>
      </c>
      <c r="B9" s="94" t="str">
        <f t="shared" si="0"/>
        <v>550</v>
      </c>
      <c r="C9" s="20" t="s">
        <v>166</v>
      </c>
      <c r="D9" s="21">
        <v>35000</v>
      </c>
      <c r="E9" s="23">
        <v>33550</v>
      </c>
      <c r="F9" s="23">
        <f t="shared" ref="F9:F14" si="1">E9/10*12</f>
        <v>40260</v>
      </c>
      <c r="G9" s="23">
        <v>40000</v>
      </c>
      <c r="H9" s="25"/>
    </row>
    <row r="10" spans="1:8">
      <c r="A10" s="19">
        <v>1611000560</v>
      </c>
      <c r="B10" s="94" t="str">
        <f t="shared" si="0"/>
        <v>560</v>
      </c>
      <c r="C10" s="20" t="s">
        <v>167</v>
      </c>
      <c r="D10" s="21">
        <v>16000</v>
      </c>
      <c r="E10" s="23">
        <v>5914.3</v>
      </c>
      <c r="F10" s="23">
        <f t="shared" si="1"/>
        <v>7097.1600000000008</v>
      </c>
      <c r="G10" s="23">
        <v>8000</v>
      </c>
      <c r="H10" s="25"/>
    </row>
    <row r="11" spans="1:8">
      <c r="A11" s="19">
        <v>1611000570</v>
      </c>
      <c r="B11" s="94" t="str">
        <f t="shared" si="0"/>
        <v>570</v>
      </c>
      <c r="C11" s="20" t="s">
        <v>168</v>
      </c>
      <c r="D11" s="21">
        <v>35000</v>
      </c>
      <c r="E11" s="23">
        <v>25710.48</v>
      </c>
      <c r="F11" s="23">
        <f>E11/9*12</f>
        <v>34280.639999999999</v>
      </c>
      <c r="G11" s="23">
        <v>35000</v>
      </c>
      <c r="H11" s="25"/>
    </row>
    <row r="12" spans="1:8">
      <c r="A12" s="19">
        <v>1611000740</v>
      </c>
      <c r="B12" s="94" t="str">
        <f t="shared" si="0"/>
        <v>740</v>
      </c>
      <c r="C12" s="20" t="s">
        <v>169</v>
      </c>
      <c r="D12" s="21">
        <v>15000</v>
      </c>
      <c r="E12" s="23">
        <v>14260</v>
      </c>
      <c r="F12" s="23">
        <v>14260</v>
      </c>
      <c r="G12" s="23">
        <v>15000</v>
      </c>
      <c r="H12" s="25"/>
    </row>
    <row r="13" spans="1:8">
      <c r="A13" s="19">
        <v>1611000750</v>
      </c>
      <c r="B13" s="94" t="str">
        <f t="shared" si="0"/>
        <v>750</v>
      </c>
      <c r="C13" s="20" t="s">
        <v>170</v>
      </c>
      <c r="D13" s="21">
        <v>18000</v>
      </c>
      <c r="E13" s="23">
        <v>16300</v>
      </c>
      <c r="F13" s="23">
        <f t="shared" si="1"/>
        <v>19560</v>
      </c>
      <c r="G13" s="23">
        <v>10000</v>
      </c>
      <c r="H13" s="25"/>
    </row>
    <row r="14" spans="1:8">
      <c r="A14" s="19">
        <v>1611000780</v>
      </c>
      <c r="B14" s="94" t="str">
        <f t="shared" si="0"/>
        <v>780</v>
      </c>
      <c r="C14" s="20" t="s">
        <v>171</v>
      </c>
      <c r="D14" s="21">
        <v>6000</v>
      </c>
      <c r="E14" s="23">
        <v>3084</v>
      </c>
      <c r="F14" s="23">
        <f t="shared" si="1"/>
        <v>3700.7999999999997</v>
      </c>
      <c r="G14" s="23">
        <v>4000</v>
      </c>
      <c r="H14" s="25"/>
    </row>
    <row r="15" spans="1:8">
      <c r="A15" s="19">
        <v>1611100110</v>
      </c>
      <c r="B15" s="94" t="str">
        <f t="shared" si="0"/>
        <v>110</v>
      </c>
      <c r="C15" s="20" t="s">
        <v>172</v>
      </c>
      <c r="D15" s="21">
        <v>672863</v>
      </c>
      <c r="E15" s="22">
        <v>557815.65</v>
      </c>
      <c r="F15" s="23">
        <f>[1]שכר!G3</f>
        <v>668457.65</v>
      </c>
      <c r="G15" s="21">
        <f>[1]שכר!J3</f>
        <v>685000</v>
      </c>
      <c r="H15" s="37">
        <f>[1]שכר!K3/100</f>
        <v>1</v>
      </c>
    </row>
    <row r="16" spans="1:8">
      <c r="A16" s="19">
        <v>1611100531</v>
      </c>
      <c r="B16" s="94" t="str">
        <f t="shared" si="0"/>
        <v>531</v>
      </c>
      <c r="C16" s="20" t="s">
        <v>173</v>
      </c>
      <c r="D16" s="21">
        <v>70000</v>
      </c>
      <c r="E16" s="23">
        <v>67958.880000000005</v>
      </c>
      <c r="F16" s="23">
        <f>E16/10*12</f>
        <v>81550.656000000017</v>
      </c>
      <c r="G16" s="23">
        <v>80000</v>
      </c>
      <c r="H16" s="25"/>
    </row>
    <row r="17" spans="1:8">
      <c r="A17" s="19">
        <v>1611100540</v>
      </c>
      <c r="B17" s="94" t="str">
        <f t="shared" si="0"/>
        <v>540</v>
      </c>
      <c r="C17" s="20" t="s">
        <v>174</v>
      </c>
      <c r="D17" s="21">
        <v>4000</v>
      </c>
      <c r="E17" s="23">
        <v>2189.6999999999998</v>
      </c>
      <c r="F17" s="26">
        <f>E17/10*12+500</f>
        <v>3127.6399999999994</v>
      </c>
      <c r="G17" s="23">
        <v>4000</v>
      </c>
      <c r="H17" s="25"/>
    </row>
    <row r="18" spans="1:8">
      <c r="A18" s="19">
        <v>1612000110</v>
      </c>
      <c r="B18" s="94" t="str">
        <f t="shared" si="0"/>
        <v>110</v>
      </c>
      <c r="C18" s="20" t="s">
        <v>175</v>
      </c>
      <c r="D18" s="21">
        <v>30000</v>
      </c>
      <c r="E18" s="20">
        <v>0</v>
      </c>
      <c r="F18" s="23">
        <f>[1]שכר!G4</f>
        <v>0</v>
      </c>
      <c r="G18" s="21">
        <f>[1]שכר!J4</f>
        <v>130000</v>
      </c>
      <c r="H18" s="37">
        <f>[1]שכר!K4/100</f>
        <v>0.5</v>
      </c>
    </row>
    <row r="19" spans="1:8">
      <c r="A19" s="19">
        <v>1612000780</v>
      </c>
      <c r="B19" s="94" t="str">
        <f t="shared" si="0"/>
        <v>780</v>
      </c>
      <c r="C19" s="20" t="s">
        <v>177</v>
      </c>
      <c r="D19" s="21">
        <v>1000</v>
      </c>
      <c r="E19" s="23">
        <v>0</v>
      </c>
      <c r="F19" s="23">
        <v>0</v>
      </c>
      <c r="G19" s="23">
        <v>3000</v>
      </c>
      <c r="H19" s="25"/>
    </row>
    <row r="20" spans="1:8">
      <c r="A20" s="19">
        <v>1613000110</v>
      </c>
      <c r="B20" s="94" t="str">
        <f t="shared" si="0"/>
        <v>110</v>
      </c>
      <c r="C20" s="20" t="s">
        <v>178</v>
      </c>
      <c r="D20" s="21">
        <v>506668</v>
      </c>
      <c r="E20" s="22">
        <v>461672.09</v>
      </c>
      <c r="F20" s="23">
        <f>[1]שכר!G5</f>
        <v>536585</v>
      </c>
      <c r="G20" s="21">
        <f>[1]שכר!J5</f>
        <v>550000</v>
      </c>
      <c r="H20" s="37">
        <f>[1]שכר!K5/100</f>
        <v>3</v>
      </c>
    </row>
    <row r="21" spans="1:8">
      <c r="A21" s="19">
        <v>1613000521</v>
      </c>
      <c r="B21" s="94" t="str">
        <f t="shared" si="0"/>
        <v>521</v>
      </c>
      <c r="C21" s="20" t="s">
        <v>179</v>
      </c>
      <c r="D21" s="21">
        <v>12000</v>
      </c>
      <c r="E21" s="23">
        <v>8145.5</v>
      </c>
      <c r="F21" s="26">
        <f>E21/10*12-3000</f>
        <v>6774.5999999999985</v>
      </c>
      <c r="G21" s="23">
        <v>5000</v>
      </c>
      <c r="H21" s="25"/>
    </row>
    <row r="22" spans="1:8">
      <c r="A22" s="19">
        <v>1613000560</v>
      </c>
      <c r="B22" s="94" t="str">
        <f t="shared" si="0"/>
        <v>560</v>
      </c>
      <c r="C22" s="20" t="s">
        <v>180</v>
      </c>
      <c r="D22" s="21">
        <v>5000</v>
      </c>
      <c r="E22" s="23">
        <v>4497.49</v>
      </c>
      <c r="F22" s="23">
        <f t="shared" ref="F22:F32" si="2">E22/10*12</f>
        <v>5396.9879999999994</v>
      </c>
      <c r="G22" s="23">
        <v>5000</v>
      </c>
      <c r="H22" s="25"/>
    </row>
    <row r="23" spans="1:8">
      <c r="A23" s="19">
        <v>1613000565</v>
      </c>
      <c r="B23" s="94" t="str">
        <f t="shared" si="0"/>
        <v>565</v>
      </c>
      <c r="C23" s="20" t="s">
        <v>181</v>
      </c>
      <c r="D23" s="21">
        <v>130000</v>
      </c>
      <c r="E23" s="23">
        <v>107439.7</v>
      </c>
      <c r="F23" s="23">
        <f t="shared" si="2"/>
        <v>128927.63999999998</v>
      </c>
      <c r="G23" s="23">
        <v>130000</v>
      </c>
      <c r="H23" s="25"/>
    </row>
    <row r="24" spans="1:8">
      <c r="A24" s="19">
        <v>1613000740</v>
      </c>
      <c r="B24" s="94" t="str">
        <f t="shared" si="0"/>
        <v>740</v>
      </c>
      <c r="C24" s="20" t="s">
        <v>182</v>
      </c>
      <c r="D24" s="21">
        <v>2000</v>
      </c>
      <c r="E24" s="23">
        <v>292.5</v>
      </c>
      <c r="F24" s="23">
        <f>E24/10*12+1000</f>
        <v>1351</v>
      </c>
      <c r="G24" s="23">
        <v>2000</v>
      </c>
      <c r="H24" s="25"/>
    </row>
    <row r="25" spans="1:8">
      <c r="A25" s="19">
        <v>1617000110</v>
      </c>
      <c r="B25" s="94" t="str">
        <f t="shared" si="0"/>
        <v>110</v>
      </c>
      <c r="C25" s="20" t="s">
        <v>183</v>
      </c>
      <c r="D25" s="21">
        <v>220992</v>
      </c>
      <c r="E25" s="22">
        <v>189895.53</v>
      </c>
      <c r="F25" s="23">
        <f>[1]שכר!G10</f>
        <v>182158.04</v>
      </c>
      <c r="G25" s="21">
        <v>0</v>
      </c>
      <c r="H25" s="37">
        <v>0</v>
      </c>
    </row>
    <row r="26" spans="1:8">
      <c r="A26" s="19">
        <v>1617000750</v>
      </c>
      <c r="B26" s="94" t="str">
        <f t="shared" si="0"/>
        <v>750</v>
      </c>
      <c r="C26" s="20" t="s">
        <v>184</v>
      </c>
      <c r="D26" s="21">
        <v>204000</v>
      </c>
      <c r="E26" s="23">
        <v>170000</v>
      </c>
      <c r="F26" s="23">
        <f t="shared" si="2"/>
        <v>204000</v>
      </c>
      <c r="G26" s="23">
        <f>17000*12</f>
        <v>204000</v>
      </c>
      <c r="H26" s="25"/>
    </row>
    <row r="27" spans="1:8">
      <c r="A27" s="19">
        <v>1617000751</v>
      </c>
      <c r="B27" s="94" t="str">
        <f t="shared" si="0"/>
        <v>751</v>
      </c>
      <c r="C27" s="20" t="s">
        <v>185</v>
      </c>
      <c r="D27" s="21">
        <v>100000</v>
      </c>
      <c r="E27" s="23">
        <v>97116</v>
      </c>
      <c r="F27" s="23">
        <f t="shared" si="2"/>
        <v>116539.20000000001</v>
      </c>
      <c r="G27" s="23">
        <f>130000+30000</f>
        <v>160000</v>
      </c>
      <c r="H27" s="25"/>
    </row>
    <row r="28" spans="1:8">
      <c r="A28" s="19">
        <v>1619000680</v>
      </c>
      <c r="B28" s="94" t="str">
        <f t="shared" si="0"/>
        <v>680</v>
      </c>
      <c r="C28" s="20" t="s">
        <v>186</v>
      </c>
      <c r="D28" s="21"/>
      <c r="E28" s="23"/>
      <c r="F28" s="23"/>
      <c r="G28" s="23">
        <f>113200-G29</f>
        <v>63200</v>
      </c>
      <c r="H28" s="25"/>
    </row>
    <row r="29" spans="1:8">
      <c r="A29" s="19">
        <v>1619000750</v>
      </c>
      <c r="B29" s="94" t="str">
        <f t="shared" si="0"/>
        <v>750</v>
      </c>
      <c r="C29" s="20" t="s">
        <v>187</v>
      </c>
      <c r="D29" s="21"/>
      <c r="E29" s="23"/>
      <c r="F29" s="23"/>
      <c r="G29" s="23">
        <v>50000</v>
      </c>
      <c r="H29" s="25"/>
    </row>
    <row r="30" spans="1:8">
      <c r="A30" s="19">
        <v>1621100110</v>
      </c>
      <c r="B30" s="94" t="str">
        <f t="shared" si="0"/>
        <v>110</v>
      </c>
      <c r="C30" s="20" t="s">
        <v>188</v>
      </c>
      <c r="D30" s="21">
        <v>465955</v>
      </c>
      <c r="E30" s="22">
        <v>324003.59000000003</v>
      </c>
      <c r="F30" s="23">
        <f>[1]שכר!G7</f>
        <v>384071.59</v>
      </c>
      <c r="G30" s="21">
        <f>[1]שכר!J7</f>
        <v>415000</v>
      </c>
      <c r="H30" s="37">
        <f>[1]שכר!K7/100</f>
        <v>2</v>
      </c>
    </row>
    <row r="31" spans="1:8">
      <c r="A31" s="19">
        <v>1621100540</v>
      </c>
      <c r="B31" s="94" t="str">
        <f t="shared" si="0"/>
        <v>540</v>
      </c>
      <c r="C31" s="20" t="s">
        <v>189</v>
      </c>
      <c r="D31" s="21">
        <v>1000</v>
      </c>
      <c r="E31" s="23">
        <v>1148.17</v>
      </c>
      <c r="F31" s="23">
        <f t="shared" si="2"/>
        <v>1377.8040000000001</v>
      </c>
      <c r="G31" s="23">
        <v>1000</v>
      </c>
      <c r="H31" s="25"/>
    </row>
    <row r="32" spans="1:8">
      <c r="A32" s="19">
        <v>1621100560</v>
      </c>
      <c r="B32" s="94" t="str">
        <f t="shared" si="0"/>
        <v>560</v>
      </c>
      <c r="C32" s="20" t="s">
        <v>190</v>
      </c>
      <c r="D32" s="21">
        <v>4000</v>
      </c>
      <c r="E32" s="23">
        <v>4689.17</v>
      </c>
      <c r="F32" s="23">
        <f t="shared" si="2"/>
        <v>5627.0040000000008</v>
      </c>
      <c r="G32" s="23">
        <v>4000</v>
      </c>
      <c r="H32" s="25"/>
    </row>
    <row r="33" spans="1:8">
      <c r="A33" s="19">
        <v>1621200110</v>
      </c>
      <c r="B33" s="94" t="str">
        <f t="shared" si="0"/>
        <v>110</v>
      </c>
      <c r="C33" s="20" t="s">
        <v>191</v>
      </c>
      <c r="D33" s="21">
        <v>305048</v>
      </c>
      <c r="E33" s="22">
        <v>259537.07</v>
      </c>
      <c r="F33" s="23">
        <f>[1]שכר!G8</f>
        <v>306497.07</v>
      </c>
      <c r="G33" s="21">
        <f>[1]שכר!J8</f>
        <v>349000</v>
      </c>
      <c r="H33" s="37">
        <f>[1]שכר!K8/100</f>
        <v>2</v>
      </c>
    </row>
    <row r="34" spans="1:8">
      <c r="A34" s="19">
        <v>1621300110</v>
      </c>
      <c r="B34" s="94" t="str">
        <f t="shared" si="0"/>
        <v>110</v>
      </c>
      <c r="C34" s="20" t="s">
        <v>192</v>
      </c>
      <c r="D34" s="21">
        <v>183310</v>
      </c>
      <c r="E34" s="22">
        <v>100922.47</v>
      </c>
      <c r="F34" s="23">
        <f>[1]שכר!G9</f>
        <v>115390.47</v>
      </c>
      <c r="G34" s="21">
        <f>[1]שכר!J9+40000</f>
        <v>442000</v>
      </c>
      <c r="H34" s="37">
        <f>[1]שכר!K9/100</f>
        <v>1.5</v>
      </c>
    </row>
    <row r="35" spans="1:8">
      <c r="A35" s="19">
        <v>1621300570</v>
      </c>
      <c r="B35" s="94" t="str">
        <f t="shared" si="0"/>
        <v>570</v>
      </c>
      <c r="C35" s="20" t="s">
        <v>193</v>
      </c>
      <c r="D35" s="21">
        <v>84000</v>
      </c>
      <c r="E35" s="23">
        <v>46500.34</v>
      </c>
      <c r="F35" s="23">
        <f>E35/9*12</f>
        <v>62000.453333333324</v>
      </c>
      <c r="G35" s="23">
        <v>84000</v>
      </c>
      <c r="H35" s="25"/>
    </row>
    <row r="36" spans="1:8">
      <c r="A36" s="19">
        <v>1621300750</v>
      </c>
      <c r="B36" s="94" t="str">
        <f t="shared" si="0"/>
        <v>750</v>
      </c>
      <c r="C36" s="20" t="s">
        <v>194</v>
      </c>
      <c r="D36" s="21">
        <v>95000</v>
      </c>
      <c r="E36" s="23">
        <v>93500</v>
      </c>
      <c r="F36" s="23">
        <f>E36+23400</f>
        <v>116900</v>
      </c>
      <c r="G36" s="23">
        <f>11700*12</f>
        <v>140400</v>
      </c>
      <c r="H36" s="25"/>
    </row>
    <row r="37" spans="1:8">
      <c r="A37" s="19">
        <v>1621500110</v>
      </c>
      <c r="B37" s="94" t="str">
        <f t="shared" si="0"/>
        <v>110</v>
      </c>
      <c r="C37" s="20" t="s">
        <v>195</v>
      </c>
      <c r="D37" s="21">
        <v>178005</v>
      </c>
      <c r="E37" s="22">
        <v>152674.04</v>
      </c>
      <c r="F37" s="23">
        <f>[1]שכר!G10</f>
        <v>182158.04</v>
      </c>
      <c r="G37" s="21">
        <f>[1]שכר!J10</f>
        <v>187000</v>
      </c>
      <c r="H37" s="37">
        <f>[1]שכר!K10/100</f>
        <v>1</v>
      </c>
    </row>
    <row r="38" spans="1:8">
      <c r="A38" s="19">
        <v>1623000110</v>
      </c>
      <c r="B38" s="94" t="str">
        <f t="shared" si="0"/>
        <v>110</v>
      </c>
      <c r="C38" s="20" t="s">
        <v>196</v>
      </c>
      <c r="D38" s="21">
        <v>296520</v>
      </c>
      <c r="E38" s="22">
        <v>261024.42</v>
      </c>
      <c r="F38" s="23">
        <f>[1]שכר!G11</f>
        <v>307420.42000000004</v>
      </c>
      <c r="G38" s="21">
        <f>[1]שכר!J11</f>
        <v>315000</v>
      </c>
      <c r="H38" s="37">
        <f>[1]שכר!K11/100</f>
        <v>2</v>
      </c>
    </row>
    <row r="39" spans="1:8">
      <c r="A39" s="19">
        <v>1623000570</v>
      </c>
      <c r="B39" s="94" t="str">
        <f t="shared" si="0"/>
        <v>570</v>
      </c>
      <c r="C39" s="20" t="s">
        <v>197</v>
      </c>
      <c r="D39" s="21">
        <v>84000</v>
      </c>
      <c r="E39" s="23">
        <v>99764.28</v>
      </c>
      <c r="F39" s="23">
        <f>E39/9*12</f>
        <v>133019.04</v>
      </c>
      <c r="G39" s="23">
        <v>84000</v>
      </c>
      <c r="H39" s="25"/>
    </row>
    <row r="40" spans="1:8">
      <c r="A40" s="19">
        <v>1623000740</v>
      </c>
      <c r="B40" s="94" t="str">
        <f t="shared" si="0"/>
        <v>740</v>
      </c>
      <c r="C40" s="20" t="s">
        <v>198</v>
      </c>
      <c r="D40" s="21">
        <v>2000</v>
      </c>
      <c r="E40" s="23">
        <v>796</v>
      </c>
      <c r="F40" s="23">
        <f>E40/10*12</f>
        <v>955.19999999999993</v>
      </c>
      <c r="G40" s="23">
        <v>1000</v>
      </c>
      <c r="H40" s="25"/>
    </row>
    <row r="41" spans="1:8">
      <c r="A41" s="19">
        <v>1623000750</v>
      </c>
      <c r="B41" s="94" t="str">
        <f t="shared" si="0"/>
        <v>750</v>
      </c>
      <c r="C41" s="20" t="s">
        <v>199</v>
      </c>
      <c r="D41" s="21">
        <v>100000</v>
      </c>
      <c r="E41" s="23">
        <v>89976.83</v>
      </c>
      <c r="F41" s="23">
        <v>91000</v>
      </c>
      <c r="G41" s="23">
        <v>100000</v>
      </c>
      <c r="H41" s="25"/>
    </row>
    <row r="42" spans="1:8">
      <c r="A42" s="19">
        <v>1631000610</v>
      </c>
      <c r="B42" s="94" t="str">
        <f t="shared" si="0"/>
        <v>610</v>
      </c>
      <c r="C42" s="20" t="s">
        <v>200</v>
      </c>
      <c r="D42" s="21">
        <v>125000</v>
      </c>
      <c r="E42" s="23">
        <v>138443.25</v>
      </c>
      <c r="F42" s="23">
        <v>166192</v>
      </c>
      <c r="G42" s="23">
        <v>110000</v>
      </c>
      <c r="H42" s="25"/>
    </row>
    <row r="43" spans="1:8">
      <c r="A43" s="19">
        <v>1632000620</v>
      </c>
      <c r="B43" s="94" t="str">
        <f t="shared" si="0"/>
        <v>620</v>
      </c>
      <c r="C43" s="20" t="s">
        <v>201</v>
      </c>
      <c r="D43" s="21">
        <v>34779</v>
      </c>
      <c r="E43" s="23">
        <v>14485.37</v>
      </c>
      <c r="F43" s="23">
        <v>17382</v>
      </c>
      <c r="G43" s="23">
        <v>20000</v>
      </c>
      <c r="H43" s="25"/>
    </row>
    <row r="44" spans="1:8">
      <c r="A44" s="19">
        <v>1649100691</v>
      </c>
      <c r="B44" s="94" t="str">
        <f t="shared" si="0"/>
        <v>691</v>
      </c>
      <c r="C44" s="20" t="s">
        <v>202</v>
      </c>
      <c r="D44" s="21">
        <v>1250000</v>
      </c>
      <c r="E44" s="23">
        <v>717365.94</v>
      </c>
      <c r="F44" s="23">
        <f>(86667*2)+E44</f>
        <v>890699.94</v>
      </c>
      <c r="G44" s="23">
        <v>1290000</v>
      </c>
      <c r="H44" s="25"/>
    </row>
    <row r="45" spans="1:8">
      <c r="A45" s="19">
        <v>1649100692</v>
      </c>
      <c r="B45" s="94" t="str">
        <f t="shared" si="0"/>
        <v>692</v>
      </c>
      <c r="C45" s="20" t="s">
        <v>203</v>
      </c>
      <c r="D45" s="21">
        <v>330000</v>
      </c>
      <c r="E45" s="23">
        <v>151537.63</v>
      </c>
      <c r="F45" s="23">
        <f>(24500*2)+E45</f>
        <v>200537.63</v>
      </c>
      <c r="G45" s="23">
        <v>329000</v>
      </c>
      <c r="H45" s="25"/>
    </row>
    <row r="46" spans="1:8">
      <c r="A46" s="19">
        <v>1649100693</v>
      </c>
      <c r="B46" s="94" t="str">
        <f t="shared" si="0"/>
        <v>693</v>
      </c>
      <c r="C46" s="20" t="s">
        <v>204</v>
      </c>
      <c r="D46" s="21">
        <v>90000</v>
      </c>
      <c r="E46" s="23">
        <v>149570.62</v>
      </c>
      <c r="F46" s="23">
        <f>(1500*2)+E46</f>
        <v>152570.62</v>
      </c>
      <c r="G46" s="23">
        <v>27000</v>
      </c>
      <c r="H46" s="25"/>
    </row>
    <row r="47" spans="1:8">
      <c r="A47" s="19">
        <v>1711000110</v>
      </c>
      <c r="B47" s="94" t="str">
        <f t="shared" si="0"/>
        <v>110</v>
      </c>
      <c r="C47" s="20" t="s">
        <v>205</v>
      </c>
      <c r="D47" s="21">
        <v>449952</v>
      </c>
      <c r="E47" s="22">
        <v>399551.85</v>
      </c>
      <c r="F47" s="23">
        <f>[1]שכר!G12</f>
        <v>468731.85</v>
      </c>
      <c r="G47" s="21">
        <f>[1]שכר!J12</f>
        <v>497000</v>
      </c>
      <c r="H47" s="37">
        <f>[1]שכר!K12/100</f>
        <v>3.5</v>
      </c>
    </row>
    <row r="48" spans="1:8">
      <c r="A48" s="19">
        <v>1711000560</v>
      </c>
      <c r="B48" s="94" t="str">
        <f t="shared" si="0"/>
        <v>560</v>
      </c>
      <c r="C48" s="20" t="s">
        <v>206</v>
      </c>
      <c r="D48" s="21">
        <v>2000</v>
      </c>
      <c r="E48" s="23">
        <v>1730.43</v>
      </c>
      <c r="F48" s="23">
        <f t="shared" ref="F48:F55" si="3">E48/10*12</f>
        <v>2076.5160000000001</v>
      </c>
      <c r="G48" s="23">
        <v>2000</v>
      </c>
      <c r="H48" s="25"/>
    </row>
    <row r="49" spans="1:10">
      <c r="A49" s="19">
        <v>1711000740</v>
      </c>
      <c r="B49" s="94" t="str">
        <f t="shared" si="0"/>
        <v>740</v>
      </c>
      <c r="C49" s="20" t="s">
        <v>207</v>
      </c>
      <c r="D49" s="21">
        <v>10000</v>
      </c>
      <c r="E49" s="23">
        <v>669.2</v>
      </c>
      <c r="F49" s="23">
        <f t="shared" si="3"/>
        <v>803.04</v>
      </c>
      <c r="G49" s="23">
        <v>5000</v>
      </c>
      <c r="H49" s="25"/>
    </row>
    <row r="50" spans="1:10">
      <c r="A50" s="19">
        <v>1712100731</v>
      </c>
      <c r="B50" s="94" t="str">
        <f t="shared" si="0"/>
        <v>731</v>
      </c>
      <c r="C50" s="20" t="s">
        <v>208</v>
      </c>
      <c r="D50" s="21">
        <v>35000</v>
      </c>
      <c r="E50" s="23">
        <v>27283</v>
      </c>
      <c r="F50" s="23">
        <f t="shared" si="3"/>
        <v>32739.600000000002</v>
      </c>
      <c r="G50" s="23">
        <v>33000</v>
      </c>
      <c r="H50" s="25"/>
    </row>
    <row r="51" spans="1:10">
      <c r="A51" s="19">
        <v>1712100732</v>
      </c>
      <c r="B51" s="94" t="str">
        <f t="shared" si="0"/>
        <v>732</v>
      </c>
      <c r="C51" s="20" t="s">
        <v>209</v>
      </c>
      <c r="D51" s="21">
        <v>15000</v>
      </c>
      <c r="E51" s="23">
        <v>11783</v>
      </c>
      <c r="F51" s="23">
        <f t="shared" si="3"/>
        <v>14139.599999999999</v>
      </c>
      <c r="G51" s="23">
        <v>15000</v>
      </c>
      <c r="H51" s="25"/>
    </row>
    <row r="52" spans="1:10">
      <c r="A52" s="19">
        <v>1712100733</v>
      </c>
      <c r="B52" s="94" t="str">
        <f t="shared" si="0"/>
        <v>733</v>
      </c>
      <c r="C52" s="20" t="s">
        <v>210</v>
      </c>
      <c r="D52" s="21">
        <v>15000</v>
      </c>
      <c r="E52" s="23">
        <v>12341.24</v>
      </c>
      <c r="F52" s="23">
        <f t="shared" si="3"/>
        <v>14809.488000000001</v>
      </c>
      <c r="G52" s="23">
        <v>13000</v>
      </c>
      <c r="H52" s="25"/>
    </row>
    <row r="53" spans="1:10">
      <c r="A53" s="19">
        <v>1712300750</v>
      </c>
      <c r="B53" s="94" t="str">
        <f t="shared" si="0"/>
        <v>750</v>
      </c>
      <c r="C53" s="20" t="s">
        <v>211</v>
      </c>
      <c r="D53" s="21">
        <v>1500000</v>
      </c>
      <c r="E53" s="23">
        <v>1000000</v>
      </c>
      <c r="F53" s="23">
        <v>1500000</v>
      </c>
      <c r="G53" s="23">
        <f>125000*12+13000*12</f>
        <v>1656000</v>
      </c>
      <c r="H53" s="25"/>
    </row>
    <row r="54" spans="1:10">
      <c r="A54" s="19">
        <v>1712300751</v>
      </c>
      <c r="B54" s="94" t="str">
        <f t="shared" si="0"/>
        <v>751</v>
      </c>
      <c r="C54" s="20" t="s">
        <v>212</v>
      </c>
      <c r="D54" s="21">
        <v>20000</v>
      </c>
      <c r="E54" s="23">
        <v>13530</v>
      </c>
      <c r="F54" s="23">
        <f t="shared" si="3"/>
        <v>16236</v>
      </c>
      <c r="G54" s="23">
        <v>0</v>
      </c>
      <c r="H54" s="25"/>
    </row>
    <row r="55" spans="1:10">
      <c r="A55" s="19">
        <v>1712301750</v>
      </c>
      <c r="B55" s="94" t="str">
        <f t="shared" si="0"/>
        <v>750</v>
      </c>
      <c r="C55" s="20" t="s">
        <v>213</v>
      </c>
      <c r="D55" s="21">
        <v>21000</v>
      </c>
      <c r="E55" s="23">
        <v>12480</v>
      </c>
      <c r="F55" s="23">
        <f t="shared" si="3"/>
        <v>14976</v>
      </c>
      <c r="G55" s="23">
        <v>24000</v>
      </c>
      <c r="H55" s="25"/>
    </row>
    <row r="56" spans="1:10">
      <c r="A56" s="19">
        <v>1713000110</v>
      </c>
      <c r="B56" s="94" t="str">
        <f t="shared" si="0"/>
        <v>110</v>
      </c>
      <c r="C56" s="20" t="s">
        <v>214</v>
      </c>
      <c r="D56" s="21">
        <v>81744</v>
      </c>
      <c r="E56" s="22">
        <v>70448.009999999995</v>
      </c>
      <c r="F56" s="23">
        <f>[1]שכר!G13</f>
        <v>83960.01</v>
      </c>
      <c r="G56" s="21">
        <f>[1]שכר!J13</f>
        <v>86000</v>
      </c>
      <c r="H56" s="37">
        <f>[1]שכר!K13/100</f>
        <v>0.5</v>
      </c>
    </row>
    <row r="57" spans="1:10">
      <c r="A57" s="19">
        <v>1714200110</v>
      </c>
      <c r="B57" s="94" t="str">
        <f t="shared" si="0"/>
        <v>110</v>
      </c>
      <c r="C57" s="20" t="s">
        <v>215</v>
      </c>
      <c r="D57" s="21">
        <v>85250</v>
      </c>
      <c r="E57" s="22">
        <v>76885.440000000002</v>
      </c>
      <c r="F57" s="23">
        <f>[1]שכר!G14</f>
        <v>89469</v>
      </c>
      <c r="G57" s="21">
        <f>[1]שכר!J14</f>
        <v>92000</v>
      </c>
      <c r="H57" s="37">
        <f>[1]שכר!K14/100</f>
        <v>0.2</v>
      </c>
    </row>
    <row r="58" spans="1:10">
      <c r="A58" s="19">
        <v>1714200780</v>
      </c>
      <c r="B58" s="94" t="str">
        <f t="shared" si="0"/>
        <v>780</v>
      </c>
      <c r="C58" s="20" t="s">
        <v>216</v>
      </c>
      <c r="D58" s="21">
        <v>7000</v>
      </c>
      <c r="E58" s="23">
        <v>4189</v>
      </c>
      <c r="F58" s="23">
        <f>E58/10*12</f>
        <v>5026.7999999999993</v>
      </c>
      <c r="G58" s="23">
        <v>5000</v>
      </c>
      <c r="H58" s="25"/>
    </row>
    <row r="59" spans="1:10">
      <c r="A59" s="19">
        <v>1714200860</v>
      </c>
      <c r="B59" s="94" t="str">
        <f t="shared" si="0"/>
        <v>860</v>
      </c>
      <c r="C59" s="20" t="s">
        <v>217</v>
      </c>
      <c r="D59" s="21">
        <v>10000</v>
      </c>
      <c r="E59" s="23">
        <v>8792</v>
      </c>
      <c r="F59" s="23">
        <v>10000</v>
      </c>
      <c r="G59" s="23">
        <v>10000</v>
      </c>
      <c r="H59" s="25"/>
    </row>
    <row r="60" spans="1:10">
      <c r="A60" s="19">
        <v>1715300750</v>
      </c>
      <c r="B60" s="94" t="str">
        <f t="shared" si="0"/>
        <v>750</v>
      </c>
      <c r="C60" s="20" t="s">
        <v>218</v>
      </c>
      <c r="D60" s="21">
        <v>16000</v>
      </c>
      <c r="E60" s="23">
        <v>25930</v>
      </c>
      <c r="F60" s="23">
        <f>E60+4000*6</f>
        <v>49930</v>
      </c>
      <c r="G60" s="23">
        <f>1400*12+200</f>
        <v>17000</v>
      </c>
      <c r="H60" s="25"/>
    </row>
    <row r="61" spans="1:10">
      <c r="A61" s="19">
        <v>1715301750</v>
      </c>
      <c r="B61" s="94" t="str">
        <f t="shared" si="0"/>
        <v>750</v>
      </c>
      <c r="C61" s="20" t="s">
        <v>219</v>
      </c>
      <c r="D61" s="21">
        <v>0</v>
      </c>
      <c r="E61" s="23">
        <v>0</v>
      </c>
      <c r="F61" s="23">
        <v>18000</v>
      </c>
      <c r="G61" s="23">
        <f>3000*12</f>
        <v>36000</v>
      </c>
      <c r="H61" s="25"/>
      <c r="J61" s="32" t="s">
        <v>496</v>
      </c>
    </row>
    <row r="62" spans="1:10">
      <c r="A62" s="19">
        <v>1721000110</v>
      </c>
      <c r="B62" s="94" t="str">
        <f t="shared" si="0"/>
        <v>110</v>
      </c>
      <c r="C62" s="20" t="s">
        <v>220</v>
      </c>
      <c r="D62" s="21">
        <v>274938</v>
      </c>
      <c r="E62" s="22">
        <v>227084.39</v>
      </c>
      <c r="F62" s="23">
        <f>[1]שכר!G15</f>
        <v>269460.39</v>
      </c>
      <c r="G62" s="21">
        <f>[1]שכר!J15</f>
        <v>276000</v>
      </c>
      <c r="H62" s="37">
        <f>[1]שכר!K15/100</f>
        <v>0.8</v>
      </c>
    </row>
    <row r="63" spans="1:10">
      <c r="A63" s="19">
        <v>1721000540</v>
      </c>
      <c r="B63" s="94" t="str">
        <f t="shared" si="0"/>
        <v>540</v>
      </c>
      <c r="C63" s="20" t="s">
        <v>221</v>
      </c>
      <c r="D63" s="21">
        <v>2000</v>
      </c>
      <c r="E63" s="23">
        <v>2026.36</v>
      </c>
      <c r="F63" s="23">
        <f t="shared" ref="F63:F86" si="4">E63/10*12</f>
        <v>2431.6320000000001</v>
      </c>
      <c r="G63" s="23">
        <v>2000</v>
      </c>
      <c r="H63" s="25"/>
    </row>
    <row r="64" spans="1:10">
      <c r="A64" s="19">
        <v>1722000531</v>
      </c>
      <c r="B64" s="94" t="str">
        <f t="shared" si="0"/>
        <v>531</v>
      </c>
      <c r="C64" s="20" t="s">
        <v>222</v>
      </c>
      <c r="D64" s="21">
        <v>15000</v>
      </c>
      <c r="E64" s="23">
        <v>13579.6</v>
      </c>
      <c r="F64" s="23">
        <f t="shared" si="4"/>
        <v>16295.52</v>
      </c>
      <c r="G64" s="23">
        <v>15000</v>
      </c>
      <c r="H64" s="25"/>
    </row>
    <row r="65" spans="1:8">
      <c r="A65" s="19">
        <v>1722000733</v>
      </c>
      <c r="B65" s="94" t="str">
        <f t="shared" si="0"/>
        <v>733</v>
      </c>
      <c r="C65" s="20" t="s">
        <v>223</v>
      </c>
      <c r="D65" s="21">
        <v>7000</v>
      </c>
      <c r="E65" s="23">
        <v>6725</v>
      </c>
      <c r="F65" s="23">
        <f>E65</f>
        <v>6725</v>
      </c>
      <c r="G65" s="23">
        <v>7000</v>
      </c>
      <c r="H65" s="25"/>
    </row>
    <row r="66" spans="1:8">
      <c r="A66" s="19">
        <v>1722000750</v>
      </c>
      <c r="B66" s="94" t="str">
        <f t="shared" si="0"/>
        <v>750</v>
      </c>
      <c r="C66" s="20" t="s">
        <v>224</v>
      </c>
      <c r="D66" s="21">
        <v>15000</v>
      </c>
      <c r="E66" s="23">
        <v>12414</v>
      </c>
      <c r="F66" s="23">
        <f t="shared" si="4"/>
        <v>14896.800000000001</v>
      </c>
      <c r="G66" s="23">
        <v>15000</v>
      </c>
      <c r="H66" s="25"/>
    </row>
    <row r="67" spans="1:8">
      <c r="A67" s="19">
        <v>1722000780</v>
      </c>
      <c r="B67" s="94" t="str">
        <f t="shared" ref="B67:B130" si="5">MID(A67,8,3)</f>
        <v>780</v>
      </c>
      <c r="C67" s="20" t="s">
        <v>225</v>
      </c>
      <c r="D67" s="21">
        <v>2000</v>
      </c>
      <c r="E67" s="23">
        <v>660</v>
      </c>
      <c r="F67" s="23">
        <f t="shared" si="4"/>
        <v>792</v>
      </c>
      <c r="G67" s="23">
        <v>1000</v>
      </c>
      <c r="H67" s="25"/>
    </row>
    <row r="68" spans="1:8">
      <c r="A68" s="19">
        <v>1723000830</v>
      </c>
      <c r="B68" s="94" t="str">
        <f t="shared" si="5"/>
        <v>830</v>
      </c>
      <c r="C68" s="20" t="s">
        <v>226</v>
      </c>
      <c r="D68" s="21">
        <v>32000</v>
      </c>
      <c r="E68" s="23">
        <v>33990</v>
      </c>
      <c r="F68" s="23">
        <v>33990</v>
      </c>
      <c r="G68" s="23">
        <v>34000</v>
      </c>
      <c r="H68" s="25"/>
    </row>
    <row r="69" spans="1:8">
      <c r="A69" s="19">
        <v>1724000780</v>
      </c>
      <c r="B69" s="94" t="str">
        <f t="shared" si="5"/>
        <v>780</v>
      </c>
      <c r="C69" s="20" t="s">
        <v>227</v>
      </c>
      <c r="D69" s="21">
        <v>20000</v>
      </c>
      <c r="E69" s="23">
        <v>0</v>
      </c>
      <c r="F69" s="23">
        <f t="shared" si="4"/>
        <v>0</v>
      </c>
      <c r="G69" s="23">
        <v>10000</v>
      </c>
      <c r="H69" s="25"/>
    </row>
    <row r="70" spans="1:8">
      <c r="A70" s="19">
        <v>1724000830</v>
      </c>
      <c r="B70" s="94" t="str">
        <f t="shared" si="5"/>
        <v>830</v>
      </c>
      <c r="C70" s="20" t="s">
        <v>228</v>
      </c>
      <c r="D70" s="21">
        <v>45000</v>
      </c>
      <c r="E70" s="23">
        <v>44601</v>
      </c>
      <c r="F70" s="23">
        <v>44601</v>
      </c>
      <c r="G70" s="23">
        <v>0</v>
      </c>
      <c r="H70" s="25"/>
    </row>
    <row r="71" spans="1:8">
      <c r="A71" s="19">
        <v>1725000750</v>
      </c>
      <c r="B71" s="94" t="str">
        <f t="shared" si="5"/>
        <v>750</v>
      </c>
      <c r="C71" s="20" t="s">
        <v>229</v>
      </c>
      <c r="D71" s="21">
        <v>30000</v>
      </c>
      <c r="E71" s="23">
        <v>0</v>
      </c>
      <c r="F71" s="23">
        <f t="shared" si="4"/>
        <v>0</v>
      </c>
      <c r="G71" s="23">
        <f>D71-E71</f>
        <v>30000</v>
      </c>
      <c r="H71" s="25"/>
    </row>
    <row r="72" spans="1:8">
      <c r="A72" s="19">
        <v>1731000110</v>
      </c>
      <c r="B72" s="94" t="str">
        <f t="shared" si="5"/>
        <v>110</v>
      </c>
      <c r="C72" s="20" t="s">
        <v>230</v>
      </c>
      <c r="D72" s="21">
        <v>723142</v>
      </c>
      <c r="E72" s="22">
        <v>665280.4</v>
      </c>
      <c r="F72" s="23">
        <f>[1]שכר!G16</f>
        <v>742444.4</v>
      </c>
      <c r="G72" s="21">
        <f>[1]שכר!J16</f>
        <v>761000</v>
      </c>
      <c r="H72" s="37">
        <f>[1]שכר!K16/100</f>
        <v>2.5</v>
      </c>
    </row>
    <row r="73" spans="1:8">
      <c r="A73" s="19">
        <v>1731000540</v>
      </c>
      <c r="B73" s="94" t="str">
        <f t="shared" si="5"/>
        <v>540</v>
      </c>
      <c r="C73" s="20" t="s">
        <v>231</v>
      </c>
      <c r="D73" s="21">
        <v>2000</v>
      </c>
      <c r="E73" s="23">
        <v>2871.26</v>
      </c>
      <c r="F73" s="23">
        <f t="shared" si="4"/>
        <v>3445.5120000000006</v>
      </c>
      <c r="G73" s="23">
        <v>3000</v>
      </c>
      <c r="H73" s="25"/>
    </row>
    <row r="74" spans="1:8">
      <c r="A74" s="19">
        <v>1731000550</v>
      </c>
      <c r="B74" s="94" t="str">
        <f t="shared" si="5"/>
        <v>550</v>
      </c>
      <c r="C74" s="20" t="s">
        <v>232</v>
      </c>
      <c r="D74" s="21">
        <v>12000</v>
      </c>
      <c r="E74" s="23">
        <v>10695</v>
      </c>
      <c r="F74" s="23">
        <f t="shared" si="4"/>
        <v>12834</v>
      </c>
      <c r="G74" s="23">
        <v>12000</v>
      </c>
      <c r="H74" s="25"/>
    </row>
    <row r="75" spans="1:8">
      <c r="A75" s="19">
        <v>1731000560</v>
      </c>
      <c r="B75" s="94" t="str">
        <f t="shared" si="5"/>
        <v>560</v>
      </c>
      <c r="C75" s="20" t="s">
        <v>233</v>
      </c>
      <c r="D75" s="21">
        <v>5000</v>
      </c>
      <c r="E75" s="23">
        <v>2845.68</v>
      </c>
      <c r="F75" s="23">
        <f t="shared" si="4"/>
        <v>3414.8159999999998</v>
      </c>
      <c r="G75" s="23">
        <v>3000</v>
      </c>
      <c r="H75" s="25"/>
    </row>
    <row r="76" spans="1:8">
      <c r="A76" s="19">
        <v>1731000750</v>
      </c>
      <c r="B76" s="94" t="str">
        <f t="shared" si="5"/>
        <v>750</v>
      </c>
      <c r="C76" s="20" t="s">
        <v>234</v>
      </c>
      <c r="D76" s="21">
        <v>30000</v>
      </c>
      <c r="E76" s="23">
        <v>12640</v>
      </c>
      <c r="F76" s="23">
        <f t="shared" si="4"/>
        <v>15168</v>
      </c>
      <c r="G76" s="23">
        <v>15000</v>
      </c>
      <c r="H76" s="25"/>
    </row>
    <row r="77" spans="1:8">
      <c r="A77" s="19">
        <v>1731000810</v>
      </c>
      <c r="B77" s="94" t="str">
        <f t="shared" si="5"/>
        <v>810</v>
      </c>
      <c r="C77" s="20" t="s">
        <v>235</v>
      </c>
      <c r="D77" s="21">
        <v>300000</v>
      </c>
      <c r="E77" s="23">
        <v>0</v>
      </c>
      <c r="F77" s="23">
        <f t="shared" si="4"/>
        <v>0</v>
      </c>
      <c r="G77" s="23">
        <f>D77-E77</f>
        <v>300000</v>
      </c>
      <c r="H77" s="25"/>
    </row>
    <row r="78" spans="1:8">
      <c r="A78" s="19">
        <v>1732000750</v>
      </c>
      <c r="B78" s="94" t="str">
        <f t="shared" si="5"/>
        <v>750</v>
      </c>
      <c r="C78" s="20" t="s">
        <v>236</v>
      </c>
      <c r="D78" s="21">
        <v>20000</v>
      </c>
      <c r="E78" s="23">
        <v>18100</v>
      </c>
      <c r="F78" s="23">
        <f t="shared" si="4"/>
        <v>21720</v>
      </c>
      <c r="G78" s="23">
        <v>15000</v>
      </c>
      <c r="H78" s="25"/>
    </row>
    <row r="79" spans="1:8">
      <c r="A79" s="19">
        <v>1741000110</v>
      </c>
      <c r="B79" s="94" t="str">
        <f t="shared" si="5"/>
        <v>110</v>
      </c>
      <c r="C79" s="20" t="s">
        <v>237</v>
      </c>
      <c r="D79" s="21">
        <v>0</v>
      </c>
      <c r="E79" s="23">
        <v>0</v>
      </c>
      <c r="F79" s="23">
        <v>0</v>
      </c>
      <c r="G79" s="23">
        <v>60000</v>
      </c>
      <c r="H79" s="25">
        <v>0.5</v>
      </c>
    </row>
    <row r="80" spans="1:8">
      <c r="A80" s="19">
        <v>1741000750</v>
      </c>
      <c r="B80" s="94" t="str">
        <f t="shared" si="5"/>
        <v>750</v>
      </c>
      <c r="C80" s="20" t="s">
        <v>238</v>
      </c>
      <c r="D80" s="21">
        <v>252793</v>
      </c>
      <c r="E80" s="23">
        <v>100270.12</v>
      </c>
      <c r="F80" s="23">
        <f t="shared" si="4"/>
        <v>120324.14399999999</v>
      </c>
      <c r="G80" s="23">
        <v>100000</v>
      </c>
      <c r="H80" s="25"/>
    </row>
    <row r="81" spans="1:10">
      <c r="A81" s="19">
        <v>1741000780</v>
      </c>
      <c r="B81" s="94" t="str">
        <f t="shared" si="5"/>
        <v>780</v>
      </c>
      <c r="C81" s="20" t="s">
        <v>239</v>
      </c>
      <c r="D81" s="21">
        <v>50000</v>
      </c>
      <c r="E81" s="23">
        <f>37777+12000</f>
        <v>49777</v>
      </c>
      <c r="F81" s="23">
        <v>50000</v>
      </c>
      <c r="G81" s="23">
        <v>10000</v>
      </c>
      <c r="H81" s="25"/>
    </row>
    <row r="82" spans="1:10">
      <c r="A82" s="19">
        <v>1741100731</v>
      </c>
      <c r="B82" s="94" t="str">
        <f t="shared" si="5"/>
        <v>731</v>
      </c>
      <c r="C82" s="20" t="s">
        <v>240</v>
      </c>
      <c r="D82" s="21">
        <v>15000</v>
      </c>
      <c r="E82" s="23">
        <v>3825</v>
      </c>
      <c r="F82" s="23">
        <f t="shared" si="4"/>
        <v>4590</v>
      </c>
      <c r="G82" s="23">
        <v>6000</v>
      </c>
      <c r="H82" s="25"/>
    </row>
    <row r="83" spans="1:10">
      <c r="A83" s="19">
        <v>1741100732</v>
      </c>
      <c r="B83" s="94" t="str">
        <f t="shared" si="5"/>
        <v>732</v>
      </c>
      <c r="C83" s="20" t="s">
        <v>241</v>
      </c>
      <c r="D83" s="21">
        <v>10000</v>
      </c>
      <c r="E83" s="23">
        <v>1600</v>
      </c>
      <c r="F83" s="23">
        <f t="shared" si="4"/>
        <v>1920</v>
      </c>
      <c r="G83" s="23">
        <v>5000</v>
      </c>
      <c r="H83" s="25"/>
    </row>
    <row r="84" spans="1:10">
      <c r="A84" s="19">
        <v>1741100733</v>
      </c>
      <c r="B84" s="94" t="str">
        <f t="shared" si="5"/>
        <v>733</v>
      </c>
      <c r="C84" s="20" t="s">
        <v>242</v>
      </c>
      <c r="D84" s="21">
        <v>20000</v>
      </c>
      <c r="E84" s="23">
        <v>6040</v>
      </c>
      <c r="F84" s="23">
        <v>7000</v>
      </c>
      <c r="G84" s="23">
        <f>12*200+6000</f>
        <v>8400</v>
      </c>
      <c r="H84" s="25"/>
    </row>
    <row r="85" spans="1:10">
      <c r="A85" s="19">
        <v>1741200731</v>
      </c>
      <c r="B85" s="94" t="str">
        <f t="shared" si="5"/>
        <v>731</v>
      </c>
      <c r="C85" s="20" t="s">
        <v>243</v>
      </c>
      <c r="D85" s="21">
        <v>15000</v>
      </c>
      <c r="E85" s="23">
        <v>820.34</v>
      </c>
      <c r="F85" s="23">
        <f t="shared" si="4"/>
        <v>984.40800000000013</v>
      </c>
      <c r="G85" s="23">
        <v>5000</v>
      </c>
      <c r="H85" s="25"/>
    </row>
    <row r="86" spans="1:10">
      <c r="A86" s="19">
        <v>1741200732</v>
      </c>
      <c r="B86" s="94" t="str">
        <f t="shared" si="5"/>
        <v>732</v>
      </c>
      <c r="C86" s="20" t="s">
        <v>244</v>
      </c>
      <c r="D86" s="21">
        <v>10000</v>
      </c>
      <c r="E86" s="23">
        <v>2500</v>
      </c>
      <c r="F86" s="23">
        <f t="shared" si="4"/>
        <v>3000</v>
      </c>
      <c r="G86" s="23">
        <v>5000</v>
      </c>
      <c r="H86" s="25"/>
    </row>
    <row r="87" spans="1:10">
      <c r="A87" s="19">
        <v>1741200733</v>
      </c>
      <c r="B87" s="94" t="str">
        <f t="shared" si="5"/>
        <v>733</v>
      </c>
      <c r="C87" s="20" t="s">
        <v>245</v>
      </c>
      <c r="D87" s="21">
        <v>20000</v>
      </c>
      <c r="E87" s="23">
        <v>10012.040000000001</v>
      </c>
      <c r="F87" s="23">
        <v>11000</v>
      </c>
      <c r="G87" s="23">
        <v>12000</v>
      </c>
      <c r="H87" s="25"/>
    </row>
    <row r="88" spans="1:10">
      <c r="A88" s="19">
        <v>1743000430</v>
      </c>
      <c r="B88" s="94" t="str">
        <f t="shared" si="5"/>
        <v>430</v>
      </c>
      <c r="C88" s="20" t="s">
        <v>246</v>
      </c>
      <c r="D88" s="21">
        <v>300000</v>
      </c>
      <c r="E88" s="23">
        <v>254198.74</v>
      </c>
      <c r="F88" s="23">
        <f>E88/10*12</f>
        <v>305038.48800000001</v>
      </c>
      <c r="G88" s="23">
        <v>305000</v>
      </c>
      <c r="H88" s="25"/>
    </row>
    <row r="89" spans="1:10">
      <c r="A89" s="19">
        <v>1743000740</v>
      </c>
      <c r="B89" s="94" t="str">
        <f t="shared" si="5"/>
        <v>740</v>
      </c>
      <c r="C89" s="20" t="s">
        <v>247</v>
      </c>
      <c r="D89" s="21">
        <v>20000</v>
      </c>
      <c r="E89" s="23">
        <v>0</v>
      </c>
      <c r="F89" s="23">
        <v>8000</v>
      </c>
      <c r="G89" s="23">
        <v>10000</v>
      </c>
      <c r="H89" s="25"/>
      <c r="J89" s="32" t="s">
        <v>496</v>
      </c>
    </row>
    <row r="90" spans="1:10">
      <c r="A90" s="19">
        <v>1743000750</v>
      </c>
      <c r="B90" s="94" t="str">
        <f t="shared" si="5"/>
        <v>750</v>
      </c>
      <c r="C90" s="20" t="s">
        <v>248</v>
      </c>
      <c r="D90" s="21">
        <v>80000</v>
      </c>
      <c r="E90" s="23">
        <v>64118</v>
      </c>
      <c r="F90" s="23">
        <f>E90/10*12</f>
        <v>76941.600000000006</v>
      </c>
      <c r="G90" s="23">
        <v>80000</v>
      </c>
      <c r="H90" s="25"/>
    </row>
    <row r="91" spans="1:10">
      <c r="A91" s="19">
        <v>1744000110</v>
      </c>
      <c r="B91" s="94" t="str">
        <f t="shared" si="5"/>
        <v>110</v>
      </c>
      <c r="C91" s="20" t="s">
        <v>249</v>
      </c>
      <c r="D91" s="21">
        <v>0</v>
      </c>
      <c r="E91" s="23">
        <v>0</v>
      </c>
      <c r="F91" s="23">
        <v>0</v>
      </c>
      <c r="G91" s="20">
        <f>(5300+1700)*1.3*0.25*10+250</f>
        <v>23000</v>
      </c>
      <c r="H91" s="25">
        <v>0.25</v>
      </c>
    </row>
    <row r="92" spans="1:10">
      <c r="A92" s="19">
        <v>1745500740</v>
      </c>
      <c r="B92" s="94" t="str">
        <f t="shared" si="5"/>
        <v>740</v>
      </c>
      <c r="C92" s="20" t="s">
        <v>250</v>
      </c>
      <c r="D92" s="21">
        <v>20000</v>
      </c>
      <c r="E92" s="23">
        <v>0</v>
      </c>
      <c r="F92" s="23">
        <v>2000</v>
      </c>
      <c r="G92" s="23">
        <v>10000</v>
      </c>
      <c r="H92" s="25"/>
      <c r="J92" s="32" t="s">
        <v>496</v>
      </c>
    </row>
    <row r="93" spans="1:10">
      <c r="A93" s="19">
        <v>1745500810</v>
      </c>
      <c r="B93" s="94" t="str">
        <f t="shared" si="5"/>
        <v>810</v>
      </c>
      <c r="C93" s="20" t="s">
        <v>251</v>
      </c>
      <c r="D93" s="21">
        <v>45000</v>
      </c>
      <c r="E93" s="23">
        <v>47787</v>
      </c>
      <c r="F93" s="23">
        <v>47787</v>
      </c>
      <c r="G93" s="23">
        <v>50000</v>
      </c>
      <c r="H93" s="25"/>
    </row>
    <row r="94" spans="1:10">
      <c r="A94" s="19">
        <v>1746000430</v>
      </c>
      <c r="B94" s="94" t="str">
        <f t="shared" si="5"/>
        <v>430</v>
      </c>
      <c r="C94" s="20" t="s">
        <v>252</v>
      </c>
      <c r="D94" s="21">
        <v>25000</v>
      </c>
      <c r="E94" s="23">
        <v>17079</v>
      </c>
      <c r="F94" s="23">
        <f>E94/10*12</f>
        <v>20494.800000000003</v>
      </c>
      <c r="G94" s="23">
        <v>25000</v>
      </c>
      <c r="H94" s="25"/>
    </row>
    <row r="95" spans="1:10">
      <c r="A95" s="19">
        <v>1746000740</v>
      </c>
      <c r="B95" s="94" t="str">
        <f t="shared" si="5"/>
        <v>740</v>
      </c>
      <c r="C95" s="20" t="s">
        <v>253</v>
      </c>
      <c r="D95" s="21">
        <v>30000</v>
      </c>
      <c r="E95" s="23">
        <v>0</v>
      </c>
      <c r="F95" s="23">
        <v>18000</v>
      </c>
      <c r="G95" s="23">
        <v>30000</v>
      </c>
      <c r="H95" s="25"/>
      <c r="J95" s="32" t="s">
        <v>496</v>
      </c>
    </row>
    <row r="96" spans="1:10">
      <c r="A96" s="19">
        <v>1746000750</v>
      </c>
      <c r="B96" s="94" t="str">
        <f t="shared" si="5"/>
        <v>750</v>
      </c>
      <c r="C96" s="20" t="s">
        <v>254</v>
      </c>
      <c r="D96" s="21">
        <v>155000</v>
      </c>
      <c r="E96" s="23">
        <v>125599</v>
      </c>
      <c r="F96" s="23">
        <f>E96/10*12</f>
        <v>150718.79999999999</v>
      </c>
      <c r="G96" s="23">
        <v>155000</v>
      </c>
      <c r="H96" s="25"/>
    </row>
    <row r="97" spans="1:8">
      <c r="A97" s="19">
        <v>1748000780</v>
      </c>
      <c r="B97" s="94" t="str">
        <f t="shared" si="5"/>
        <v>780</v>
      </c>
      <c r="C97" s="20" t="s">
        <v>255</v>
      </c>
      <c r="D97" s="21">
        <v>10000</v>
      </c>
      <c r="E97" s="23">
        <v>7752.1</v>
      </c>
      <c r="F97" s="23">
        <f>E97/10*12</f>
        <v>9302.52</v>
      </c>
      <c r="G97" s="23">
        <v>5000</v>
      </c>
      <c r="H97" s="25"/>
    </row>
    <row r="98" spans="1:8">
      <c r="A98" s="19">
        <v>1752000511</v>
      </c>
      <c r="B98" s="94" t="str">
        <f t="shared" si="5"/>
        <v>511</v>
      </c>
      <c r="C98" s="20" t="s">
        <v>256</v>
      </c>
      <c r="D98" s="21">
        <v>20000</v>
      </c>
      <c r="E98" s="23">
        <v>1734</v>
      </c>
      <c r="F98" s="23">
        <f>E98/10*12</f>
        <v>2080.8000000000002</v>
      </c>
      <c r="G98" s="23">
        <v>10000</v>
      </c>
      <c r="H98" s="25"/>
    </row>
    <row r="99" spans="1:8">
      <c r="A99" s="19">
        <v>1761000110</v>
      </c>
      <c r="B99" s="94" t="str">
        <f t="shared" si="5"/>
        <v>110</v>
      </c>
      <c r="C99" s="20" t="s">
        <v>257</v>
      </c>
      <c r="D99" s="21">
        <v>0</v>
      </c>
      <c r="E99" s="23">
        <v>0</v>
      </c>
      <c r="F99" s="23">
        <v>0</v>
      </c>
      <c r="G99" s="23">
        <f>[1]שכר!J19</f>
        <v>428000</v>
      </c>
      <c r="H99" s="37">
        <f>[1]שכר!K19/100</f>
        <v>3</v>
      </c>
    </row>
    <row r="100" spans="1:8">
      <c r="A100" s="19">
        <v>1766000780</v>
      </c>
      <c r="B100" s="94" t="str">
        <f t="shared" si="5"/>
        <v>780</v>
      </c>
      <c r="C100" s="20" t="s">
        <v>258</v>
      </c>
      <c r="D100" s="20">
        <v>0</v>
      </c>
      <c r="E100" s="20">
        <v>0</v>
      </c>
      <c r="F100" s="23">
        <v>0</v>
      </c>
      <c r="G100" s="20">
        <v>97000</v>
      </c>
      <c r="H100" s="25"/>
    </row>
    <row r="101" spans="1:8">
      <c r="A101" s="19">
        <v>1771000110</v>
      </c>
      <c r="B101" s="94" t="str">
        <f t="shared" si="5"/>
        <v>110</v>
      </c>
      <c r="C101" s="20" t="s">
        <v>259</v>
      </c>
      <c r="D101" s="21">
        <v>151610</v>
      </c>
      <c r="E101" s="22">
        <v>20675.97</v>
      </c>
      <c r="F101" s="23">
        <f>[1]שכר!G20</f>
        <v>20675.97</v>
      </c>
      <c r="G101" s="21">
        <f>[1]שכר!J20</f>
        <v>0</v>
      </c>
      <c r="H101" s="24">
        <f>[1]שכר!K20</f>
        <v>0</v>
      </c>
    </row>
    <row r="102" spans="1:8">
      <c r="A102" s="19">
        <v>1771000780</v>
      </c>
      <c r="B102" s="94" t="str">
        <f t="shared" si="5"/>
        <v>780</v>
      </c>
      <c r="C102" s="20" t="s">
        <v>260</v>
      </c>
      <c r="D102" s="21">
        <v>5000</v>
      </c>
      <c r="E102" s="23">
        <v>3577</v>
      </c>
      <c r="F102" s="23">
        <f>E102/10*12</f>
        <v>4292.3999999999996</v>
      </c>
      <c r="G102" s="23">
        <v>0</v>
      </c>
      <c r="H102" s="25"/>
    </row>
    <row r="103" spans="1:8">
      <c r="A103" s="19">
        <v>1811000110</v>
      </c>
      <c r="B103" s="94" t="str">
        <f t="shared" si="5"/>
        <v>110</v>
      </c>
      <c r="C103" s="20" t="s">
        <v>261</v>
      </c>
      <c r="D103" s="21">
        <v>384726</v>
      </c>
      <c r="E103" s="22">
        <v>327303.31</v>
      </c>
      <c r="F103" s="23">
        <f>[1]שכר!G21</f>
        <v>386885.31</v>
      </c>
      <c r="G103" s="21">
        <f>[1]שכר!J21</f>
        <v>460000</v>
      </c>
      <c r="H103" s="37">
        <f>[1]שכר!K21/100</f>
        <v>1.75</v>
      </c>
    </row>
    <row r="104" spans="1:8">
      <c r="A104" s="19">
        <v>1811000740</v>
      </c>
      <c r="B104" s="94" t="str">
        <f t="shared" si="5"/>
        <v>740</v>
      </c>
      <c r="C104" s="20" t="s">
        <v>171</v>
      </c>
      <c r="D104" s="21">
        <v>4000</v>
      </c>
      <c r="E104" s="23">
        <v>1435.01</v>
      </c>
      <c r="F104" s="23">
        <f>E104/10*12</f>
        <v>1722.0120000000002</v>
      </c>
      <c r="G104" s="23">
        <v>4000</v>
      </c>
      <c r="H104" s="25"/>
    </row>
    <row r="105" spans="1:8">
      <c r="A105" s="19">
        <v>1811000750</v>
      </c>
      <c r="B105" s="94" t="str">
        <f t="shared" si="5"/>
        <v>750</v>
      </c>
      <c r="C105" s="20" t="s">
        <v>262</v>
      </c>
      <c r="D105" s="21">
        <v>85000</v>
      </c>
      <c r="E105" s="23">
        <v>63361.279999999999</v>
      </c>
      <c r="F105" s="23">
        <v>75000</v>
      </c>
      <c r="G105" s="23">
        <v>95000</v>
      </c>
      <c r="H105" s="25"/>
    </row>
    <row r="106" spans="1:8">
      <c r="A106" s="19">
        <v>1811000780</v>
      </c>
      <c r="B106" s="94" t="str">
        <f t="shared" si="5"/>
        <v>780</v>
      </c>
      <c r="C106" s="20" t="s">
        <v>263</v>
      </c>
      <c r="D106" s="21">
        <v>3000</v>
      </c>
      <c r="E106" s="23">
        <v>0</v>
      </c>
      <c r="F106" s="23">
        <f>E106/10*12</f>
        <v>0</v>
      </c>
      <c r="G106" s="23">
        <v>0</v>
      </c>
      <c r="H106" s="25"/>
    </row>
    <row r="107" spans="1:8">
      <c r="A107" s="19">
        <v>1811100780</v>
      </c>
      <c r="B107" s="94" t="str">
        <f t="shared" si="5"/>
        <v>780</v>
      </c>
      <c r="C107" s="20" t="s">
        <v>264</v>
      </c>
      <c r="D107" s="21">
        <v>45000</v>
      </c>
      <c r="E107" s="23">
        <v>20911</v>
      </c>
      <c r="F107" s="23">
        <f>E107/6*10</f>
        <v>34851.666666666664</v>
      </c>
      <c r="G107" s="23">
        <v>35000</v>
      </c>
      <c r="H107" s="25"/>
    </row>
    <row r="108" spans="1:8">
      <c r="A108" s="19">
        <v>1812200110</v>
      </c>
      <c r="B108" s="94" t="str">
        <f t="shared" si="5"/>
        <v>110</v>
      </c>
      <c r="C108" s="20" t="s">
        <v>265</v>
      </c>
      <c r="D108" s="21">
        <v>935829</v>
      </c>
      <c r="E108" s="22">
        <v>597351.36</v>
      </c>
      <c r="F108" s="23">
        <f>[1]שכר!G22</f>
        <v>692267</v>
      </c>
      <c r="G108" s="21">
        <f>[1]שכר!J22</f>
        <v>710000</v>
      </c>
      <c r="H108" s="37">
        <f>[1]שכר!K22/100</f>
        <v>5</v>
      </c>
    </row>
    <row r="109" spans="1:8">
      <c r="A109" s="19">
        <v>1812200430</v>
      </c>
      <c r="B109" s="94" t="str">
        <f t="shared" si="5"/>
        <v>430</v>
      </c>
      <c r="C109" s="20" t="s">
        <v>266</v>
      </c>
      <c r="D109" s="21">
        <v>45000</v>
      </c>
      <c r="E109" s="23">
        <v>29280.86</v>
      </c>
      <c r="F109" s="23">
        <v>51000</v>
      </c>
      <c r="G109" s="23">
        <v>50000</v>
      </c>
      <c r="H109" s="25"/>
    </row>
    <row r="110" spans="1:8">
      <c r="A110" s="19">
        <v>1812200570</v>
      </c>
      <c r="B110" s="94" t="str">
        <f t="shared" si="5"/>
        <v>570</v>
      </c>
      <c r="C110" s="20" t="s">
        <v>267</v>
      </c>
      <c r="D110" s="21">
        <v>12000</v>
      </c>
      <c r="E110" s="23">
        <v>0</v>
      </c>
      <c r="F110" s="23">
        <f>E110/10*12</f>
        <v>0</v>
      </c>
      <c r="G110" s="23">
        <v>3000</v>
      </c>
      <c r="H110" s="25"/>
    </row>
    <row r="111" spans="1:8">
      <c r="A111" s="19">
        <v>1812200740</v>
      </c>
      <c r="B111" s="94" t="str">
        <f t="shared" si="5"/>
        <v>740</v>
      </c>
      <c r="C111" s="20" t="s">
        <v>171</v>
      </c>
      <c r="D111" s="21">
        <v>25000</v>
      </c>
      <c r="E111" s="23">
        <v>17088.009999999998</v>
      </c>
      <c r="F111" s="23">
        <f>E111/10*12</f>
        <v>20505.612000000001</v>
      </c>
      <c r="G111" s="23">
        <v>25000</v>
      </c>
      <c r="H111" s="25"/>
    </row>
    <row r="112" spans="1:8">
      <c r="A112" s="19">
        <v>1812200750</v>
      </c>
      <c r="B112" s="94" t="str">
        <f t="shared" si="5"/>
        <v>750</v>
      </c>
      <c r="C112" s="20" t="s">
        <v>268</v>
      </c>
      <c r="D112" s="21">
        <v>12000</v>
      </c>
      <c r="E112" s="23">
        <v>12000</v>
      </c>
      <c r="F112" s="23">
        <f>E112/10*12</f>
        <v>14400</v>
      </c>
      <c r="G112" s="23">
        <v>8000</v>
      </c>
      <c r="H112" s="25"/>
    </row>
    <row r="113" spans="1:8">
      <c r="A113" s="19">
        <v>1812300110</v>
      </c>
      <c r="B113" s="94" t="str">
        <f t="shared" si="5"/>
        <v>110</v>
      </c>
      <c r="C113" s="20" t="s">
        <v>269</v>
      </c>
      <c r="D113" s="21">
        <v>840428</v>
      </c>
      <c r="E113" s="22">
        <v>922716.76</v>
      </c>
      <c r="F113" s="23">
        <f>[1]שכר!G23</f>
        <v>1046070</v>
      </c>
      <c r="G113" s="21">
        <f>[1]שכר!J23</f>
        <v>965000</v>
      </c>
      <c r="H113" s="37">
        <f>[1]שכר!K23/100</f>
        <v>8</v>
      </c>
    </row>
    <row r="114" spans="1:8">
      <c r="A114" s="19">
        <v>1812300410</v>
      </c>
      <c r="B114" s="94" t="str">
        <f t="shared" si="5"/>
        <v>410</v>
      </c>
      <c r="C114" s="20" t="s">
        <v>270</v>
      </c>
      <c r="D114" s="21">
        <v>28080</v>
      </c>
      <c r="E114" s="23">
        <v>18720</v>
      </c>
      <c r="F114" s="23">
        <v>28080</v>
      </c>
      <c r="G114" s="23">
        <f>2500*12</f>
        <v>30000</v>
      </c>
      <c r="H114" s="25"/>
    </row>
    <row r="115" spans="1:8">
      <c r="A115" s="19">
        <v>1812300720</v>
      </c>
      <c r="B115" s="94" t="str">
        <f t="shared" si="5"/>
        <v>720</v>
      </c>
      <c r="C115" s="20" t="s">
        <v>271</v>
      </c>
      <c r="D115" s="21">
        <v>35000</v>
      </c>
      <c r="E115" s="23">
        <v>23000</v>
      </c>
      <c r="F115" s="23">
        <f>E115/10*12</f>
        <v>27600</v>
      </c>
      <c r="G115" s="23">
        <v>35000</v>
      </c>
      <c r="H115" s="25"/>
    </row>
    <row r="116" spans="1:8">
      <c r="A116" s="19">
        <v>1812300830</v>
      </c>
      <c r="B116" s="94" t="str">
        <f t="shared" si="5"/>
        <v>830</v>
      </c>
      <c r="C116" s="20" t="s">
        <v>272</v>
      </c>
      <c r="D116" s="21">
        <v>900000</v>
      </c>
      <c r="E116" s="23">
        <v>831694.97</v>
      </c>
      <c r="F116" s="23">
        <f>(95000*3)+E116</f>
        <v>1116694.97</v>
      </c>
      <c r="G116" s="23">
        <f>95000*12</f>
        <v>1140000</v>
      </c>
      <c r="H116" s="25"/>
    </row>
    <row r="117" spans="1:8">
      <c r="A117" s="19">
        <v>1812600110</v>
      </c>
      <c r="B117" s="94" t="str">
        <f t="shared" si="5"/>
        <v>110</v>
      </c>
      <c r="C117" s="20" t="s">
        <v>273</v>
      </c>
      <c r="D117" s="21">
        <v>120240</v>
      </c>
      <c r="E117" s="22">
        <v>84142.85</v>
      </c>
      <c r="F117" s="23">
        <f>[1]שכר!G24</f>
        <v>95908.85</v>
      </c>
      <c r="G117" s="21">
        <f>[1]שכר!J24</f>
        <v>167000</v>
      </c>
      <c r="H117" s="37">
        <f>[1]שכר!K24/100</f>
        <v>1</v>
      </c>
    </row>
    <row r="118" spans="1:8">
      <c r="A118" s="19">
        <v>1812600740</v>
      </c>
      <c r="B118" s="94" t="str">
        <f t="shared" si="5"/>
        <v>740</v>
      </c>
      <c r="C118" s="20" t="s">
        <v>274</v>
      </c>
      <c r="D118" s="21">
        <v>9000</v>
      </c>
      <c r="E118" s="23">
        <v>5500</v>
      </c>
      <c r="F118" s="23">
        <f>E118/10*12</f>
        <v>6600</v>
      </c>
      <c r="G118" s="23">
        <v>5000</v>
      </c>
      <c r="H118" s="25"/>
    </row>
    <row r="119" spans="1:8">
      <c r="A119" s="19">
        <v>1812600750</v>
      </c>
      <c r="B119" s="94" t="str">
        <f t="shared" si="5"/>
        <v>750</v>
      </c>
      <c r="C119" s="20" t="s">
        <v>275</v>
      </c>
      <c r="D119" s="21">
        <v>7000</v>
      </c>
      <c r="E119" s="23">
        <v>5300</v>
      </c>
      <c r="F119" s="23">
        <f>E119/10*12</f>
        <v>6360</v>
      </c>
      <c r="G119" s="23">
        <v>5000</v>
      </c>
      <c r="H119" s="25"/>
    </row>
    <row r="120" spans="1:8">
      <c r="A120" s="19">
        <v>1813200110</v>
      </c>
      <c r="B120" s="94" t="str">
        <f t="shared" si="5"/>
        <v>110</v>
      </c>
      <c r="C120" s="20" t="s">
        <v>276</v>
      </c>
      <c r="D120" s="21">
        <v>1387369</v>
      </c>
      <c r="E120" s="22">
        <v>1281185.7</v>
      </c>
      <c r="F120" s="23">
        <f>[1]שכר!G25</f>
        <v>1391794</v>
      </c>
      <c r="G120" s="21">
        <f>[1]שכר!J25</f>
        <v>1426000</v>
      </c>
      <c r="H120" s="37">
        <f>[1]שכר!K25/100</f>
        <v>11.2</v>
      </c>
    </row>
    <row r="121" spans="1:8">
      <c r="A121" s="19">
        <v>1813200811</v>
      </c>
      <c r="B121" s="94" t="str">
        <f t="shared" si="5"/>
        <v>811</v>
      </c>
      <c r="C121" s="20" t="s">
        <v>277</v>
      </c>
      <c r="D121" s="21">
        <v>280000</v>
      </c>
      <c r="E121" s="23">
        <v>284232</v>
      </c>
      <c r="F121" s="23">
        <v>284232</v>
      </c>
      <c r="G121" s="23">
        <v>285000</v>
      </c>
      <c r="H121" s="25"/>
    </row>
    <row r="122" spans="1:8">
      <c r="A122" s="19">
        <v>1813210780</v>
      </c>
      <c r="B122" s="94" t="str">
        <f t="shared" si="5"/>
        <v>780</v>
      </c>
      <c r="C122" s="20" t="s">
        <v>278</v>
      </c>
      <c r="D122" s="21">
        <v>210000</v>
      </c>
      <c r="E122" s="23">
        <v>214398.52</v>
      </c>
      <c r="F122" s="23">
        <v>208321</v>
      </c>
      <c r="G122" s="23">
        <f>287*734</f>
        <v>210658</v>
      </c>
      <c r="H122" s="25"/>
    </row>
    <row r="123" spans="1:8">
      <c r="A123" s="19">
        <v>1813220780</v>
      </c>
      <c r="B123" s="94" t="str">
        <f t="shared" si="5"/>
        <v>780</v>
      </c>
      <c r="C123" s="20" t="s">
        <v>279</v>
      </c>
      <c r="D123" s="21">
        <v>225000</v>
      </c>
      <c r="E123" s="23">
        <v>161560.56</v>
      </c>
      <c r="F123" s="23">
        <v>196216</v>
      </c>
      <c r="G123" s="23">
        <f>270*734</f>
        <v>198180</v>
      </c>
      <c r="H123" s="25"/>
    </row>
    <row r="124" spans="1:8">
      <c r="A124" s="19">
        <v>1813230780</v>
      </c>
      <c r="B124" s="94" t="str">
        <f t="shared" si="5"/>
        <v>780</v>
      </c>
      <c r="C124" s="20" t="s">
        <v>280</v>
      </c>
      <c r="D124" s="21">
        <v>155000</v>
      </c>
      <c r="E124" s="23">
        <v>126378.55</v>
      </c>
      <c r="F124" s="23">
        <v>153090</v>
      </c>
      <c r="G124" s="23">
        <f>210*734</f>
        <v>154140</v>
      </c>
      <c r="H124" s="25"/>
    </row>
    <row r="125" spans="1:8">
      <c r="A125" s="19">
        <v>1813600780</v>
      </c>
      <c r="B125" s="94" t="str">
        <f t="shared" si="5"/>
        <v>780</v>
      </c>
      <c r="C125" s="20" t="s">
        <v>281</v>
      </c>
      <c r="D125" s="20">
        <v>0</v>
      </c>
      <c r="E125" s="23">
        <v>489.2</v>
      </c>
      <c r="F125" s="23">
        <v>1000</v>
      </c>
      <c r="G125" s="23">
        <v>0</v>
      </c>
      <c r="H125" s="25"/>
    </row>
    <row r="126" spans="1:8">
      <c r="A126" s="19">
        <v>1813800210</v>
      </c>
      <c r="B126" s="94" t="str">
        <f t="shared" si="5"/>
        <v>210</v>
      </c>
      <c r="C126" s="20" t="s">
        <v>282</v>
      </c>
      <c r="D126" s="20">
        <v>0</v>
      </c>
      <c r="E126" s="22">
        <v>13956.03</v>
      </c>
      <c r="F126" s="23">
        <f>[1]שכר!G26</f>
        <v>18536.03</v>
      </c>
      <c r="G126" s="21">
        <f>[1]שכר!J26</f>
        <v>15000</v>
      </c>
      <c r="H126" s="24">
        <f>[1]שכר!K26</f>
        <v>0</v>
      </c>
    </row>
    <row r="127" spans="1:8">
      <c r="A127" s="19">
        <v>1813800780</v>
      </c>
      <c r="B127" s="94" t="str">
        <f t="shared" si="5"/>
        <v>780</v>
      </c>
      <c r="C127" s="20" t="s">
        <v>283</v>
      </c>
      <c r="D127" s="21">
        <v>222000</v>
      </c>
      <c r="E127" s="23">
        <v>155000</v>
      </c>
      <c r="F127" s="23">
        <v>155000</v>
      </c>
      <c r="G127" s="23">
        <v>250000</v>
      </c>
      <c r="H127" s="25"/>
    </row>
    <row r="128" spans="1:8">
      <c r="A128" s="19">
        <v>1813800811</v>
      </c>
      <c r="B128" s="94" t="str">
        <f t="shared" si="5"/>
        <v>811</v>
      </c>
      <c r="C128" s="20" t="s">
        <v>284</v>
      </c>
      <c r="D128" s="21">
        <v>33000</v>
      </c>
      <c r="E128" s="23">
        <v>33600</v>
      </c>
      <c r="F128" s="23">
        <v>33600</v>
      </c>
      <c r="G128" s="23">
        <v>33600</v>
      </c>
      <c r="H128" s="25"/>
    </row>
    <row r="129" spans="1:8">
      <c r="A129" s="19">
        <v>1813810780</v>
      </c>
      <c r="B129" s="94" t="str">
        <f t="shared" si="5"/>
        <v>780</v>
      </c>
      <c r="C129" s="20" t="s">
        <v>285</v>
      </c>
      <c r="D129" s="21">
        <v>211000</v>
      </c>
      <c r="E129" s="23">
        <v>161147.22</v>
      </c>
      <c r="F129" s="23">
        <f>E129/9*12</f>
        <v>214862.96</v>
      </c>
      <c r="G129" s="23">
        <v>215000</v>
      </c>
      <c r="H129" s="25"/>
    </row>
    <row r="130" spans="1:8">
      <c r="A130" s="19">
        <v>1814200110</v>
      </c>
      <c r="B130" s="94" t="str">
        <f t="shared" si="5"/>
        <v>110</v>
      </c>
      <c r="C130" s="20" t="s">
        <v>286</v>
      </c>
      <c r="D130" s="21">
        <v>908502</v>
      </c>
      <c r="E130" s="22">
        <v>812964.54</v>
      </c>
      <c r="F130" s="23">
        <f>[1]שכר!G27</f>
        <v>962114.54</v>
      </c>
      <c r="G130" s="21">
        <f>[1]שכר!J27</f>
        <v>1130000</v>
      </c>
      <c r="H130" s="37">
        <f>[1]שכר!K27/100</f>
        <v>10</v>
      </c>
    </row>
    <row r="131" spans="1:8">
      <c r="A131" s="19">
        <v>1814200210</v>
      </c>
      <c r="B131" s="94" t="str">
        <f t="shared" ref="B131:B194" si="6">MID(A131,8,3)</f>
        <v>210</v>
      </c>
      <c r="C131" s="20" t="s">
        <v>287</v>
      </c>
      <c r="D131" s="21">
        <v>25000</v>
      </c>
      <c r="E131" s="22">
        <v>15365.2</v>
      </c>
      <c r="F131" s="23">
        <f>[1]שכר!G28</f>
        <v>22861.200000000001</v>
      </c>
      <c r="G131" s="21">
        <f>[1]שכר!J28</f>
        <v>47000</v>
      </c>
      <c r="H131" s="24">
        <f>[1]שכר!K28</f>
        <v>0</v>
      </c>
    </row>
    <row r="132" spans="1:8">
      <c r="A132" s="19">
        <v>1814200430</v>
      </c>
      <c r="B132" s="94" t="str">
        <f t="shared" si="6"/>
        <v>430</v>
      </c>
      <c r="C132" s="20" t="s">
        <v>288</v>
      </c>
      <c r="D132" s="21">
        <v>0</v>
      </c>
      <c r="E132" s="22"/>
      <c r="F132" s="23">
        <v>0</v>
      </c>
      <c r="G132" s="21">
        <v>36000</v>
      </c>
      <c r="H132" s="25"/>
    </row>
    <row r="133" spans="1:8">
      <c r="A133" s="19">
        <v>1814200780</v>
      </c>
      <c r="B133" s="94" t="str">
        <f t="shared" si="6"/>
        <v>780</v>
      </c>
      <c r="C133" s="20" t="s">
        <v>289</v>
      </c>
      <c r="D133" s="21">
        <v>0</v>
      </c>
      <c r="E133" s="22"/>
      <c r="F133" s="23">
        <v>0</v>
      </c>
      <c r="G133" s="21">
        <v>0</v>
      </c>
      <c r="H133" s="25"/>
    </row>
    <row r="134" spans="1:8">
      <c r="A134" s="19">
        <v>1814200810</v>
      </c>
      <c r="B134" s="94" t="str">
        <f t="shared" si="6"/>
        <v>810</v>
      </c>
      <c r="C134" s="20" t="s">
        <v>290</v>
      </c>
      <c r="D134" s="21">
        <v>110000</v>
      </c>
      <c r="E134" s="23">
        <v>114114.18</v>
      </c>
      <c r="F134" s="23">
        <f>E134+20000</f>
        <v>134114.18</v>
      </c>
      <c r="G134" s="23">
        <v>80000</v>
      </c>
      <c r="H134" s="25"/>
    </row>
    <row r="135" spans="1:8">
      <c r="A135" s="19">
        <v>1814210780</v>
      </c>
      <c r="B135" s="94" t="str">
        <f t="shared" si="6"/>
        <v>780</v>
      </c>
      <c r="C135" s="20" t="s">
        <v>291</v>
      </c>
      <c r="D135" s="21">
        <v>7000</v>
      </c>
      <c r="E135" s="23">
        <v>7000</v>
      </c>
      <c r="F135" s="23">
        <f>E135/10*12</f>
        <v>8400</v>
      </c>
      <c r="G135" s="23">
        <v>20000</v>
      </c>
      <c r="H135" s="25"/>
    </row>
    <row r="136" spans="1:8">
      <c r="A136" s="19">
        <v>1815200110</v>
      </c>
      <c r="B136" s="94" t="str">
        <f t="shared" si="6"/>
        <v>110</v>
      </c>
      <c r="C136" s="20" t="s">
        <v>292</v>
      </c>
      <c r="D136" s="21">
        <v>7799642</v>
      </c>
      <c r="E136" s="22">
        <v>6716476.9400000004</v>
      </c>
      <c r="F136" s="23">
        <f>[1]שכר!G29</f>
        <v>7667804</v>
      </c>
      <c r="G136" s="21">
        <f>[1]שכר!J29</f>
        <v>7839000</v>
      </c>
      <c r="H136" s="37">
        <f>[1]שכר!K29/100</f>
        <v>34.51</v>
      </c>
    </row>
    <row r="137" spans="1:8">
      <c r="A137" s="19">
        <v>1815200210</v>
      </c>
      <c r="B137" s="94" t="str">
        <f t="shared" si="6"/>
        <v>210</v>
      </c>
      <c r="C137" s="20" t="s">
        <v>293</v>
      </c>
      <c r="D137" s="21">
        <v>80000</v>
      </c>
      <c r="E137" s="22">
        <v>85278.56</v>
      </c>
      <c r="F137" s="23">
        <f>[1]שכר!G30</f>
        <v>105584.56</v>
      </c>
      <c r="G137" s="21">
        <v>0</v>
      </c>
      <c r="H137" s="24">
        <v>0</v>
      </c>
    </row>
    <row r="138" spans="1:8">
      <c r="A138" s="19">
        <v>1815200310</v>
      </c>
      <c r="B138" s="94" t="str">
        <f t="shared" si="6"/>
        <v>310</v>
      </c>
      <c r="C138" s="20" t="s">
        <v>294</v>
      </c>
      <c r="D138" s="21"/>
      <c r="E138" s="22">
        <v>2024</v>
      </c>
      <c r="F138" s="23">
        <f>[1]שכר!G31</f>
        <v>2024</v>
      </c>
      <c r="G138" s="21">
        <v>0</v>
      </c>
      <c r="H138" s="25">
        <v>0</v>
      </c>
    </row>
    <row r="139" spans="1:8">
      <c r="A139" s="19">
        <v>1815200430</v>
      </c>
      <c r="B139" s="94" t="str">
        <f t="shared" si="6"/>
        <v>430</v>
      </c>
      <c r="C139" s="20" t="s">
        <v>295</v>
      </c>
      <c r="D139" s="21">
        <v>0</v>
      </c>
      <c r="E139" s="22"/>
      <c r="F139" s="23">
        <v>0</v>
      </c>
      <c r="G139" s="21">
        <v>35000</v>
      </c>
      <c r="H139" s="25"/>
    </row>
    <row r="140" spans="1:8">
      <c r="A140" s="19">
        <v>1815200540</v>
      </c>
      <c r="B140" s="94" t="str">
        <f t="shared" si="6"/>
        <v>540</v>
      </c>
      <c r="C140" s="20" t="s">
        <v>296</v>
      </c>
      <c r="D140" s="21">
        <v>0</v>
      </c>
      <c r="E140" s="22"/>
      <c r="F140" s="23">
        <v>0</v>
      </c>
      <c r="G140" s="21">
        <v>39000</v>
      </c>
      <c r="H140" s="25"/>
    </row>
    <row r="141" spans="1:8">
      <c r="A141" s="19">
        <v>1815200780</v>
      </c>
      <c r="B141" s="94" t="str">
        <f t="shared" si="6"/>
        <v>780</v>
      </c>
      <c r="C141" s="20" t="s">
        <v>297</v>
      </c>
      <c r="D141" s="21">
        <v>1250</v>
      </c>
      <c r="E141" s="23">
        <v>1250</v>
      </c>
      <c r="F141" s="23">
        <v>1250</v>
      </c>
      <c r="G141" s="23">
        <v>10000</v>
      </c>
      <c r="H141" s="25"/>
    </row>
    <row r="142" spans="1:8">
      <c r="A142" s="19">
        <v>1815200820</v>
      </c>
      <c r="B142" s="94" t="str">
        <f t="shared" si="6"/>
        <v>820</v>
      </c>
      <c r="C142" s="20" t="s">
        <v>298</v>
      </c>
      <c r="D142" s="21">
        <v>116750</v>
      </c>
      <c r="E142" s="23">
        <v>146970.87</v>
      </c>
      <c r="F142" s="23">
        <f>E142+17000</f>
        <v>163970.87</v>
      </c>
      <c r="G142" s="23">
        <v>100000</v>
      </c>
      <c r="H142" s="25"/>
    </row>
    <row r="143" spans="1:8">
      <c r="A143" s="19">
        <v>1815220110</v>
      </c>
      <c r="B143" s="94" t="str">
        <f t="shared" si="6"/>
        <v>110</v>
      </c>
      <c r="C143" s="20" t="s">
        <v>299</v>
      </c>
      <c r="D143" s="21">
        <v>924224</v>
      </c>
      <c r="E143" s="22">
        <v>850300.14</v>
      </c>
      <c r="F143" s="23">
        <f>[1]שכר!G32</f>
        <v>910975</v>
      </c>
      <c r="G143" s="21">
        <f>[1]שכר!J32</f>
        <v>944000</v>
      </c>
      <c r="H143" s="37">
        <f>[1]שכר!K32/100</f>
        <v>8.06</v>
      </c>
    </row>
    <row r="144" spans="1:8">
      <c r="A144" s="19">
        <v>1815230560</v>
      </c>
      <c r="B144" s="94" t="str">
        <f t="shared" si="6"/>
        <v>560</v>
      </c>
      <c r="C144" s="20" t="s">
        <v>300</v>
      </c>
      <c r="D144" s="21">
        <v>14000</v>
      </c>
      <c r="E144" s="23">
        <v>14192.1</v>
      </c>
      <c r="F144" s="23">
        <v>14192</v>
      </c>
      <c r="G144" s="23">
        <v>15000</v>
      </c>
      <c r="H144" s="25"/>
    </row>
    <row r="145" spans="1:8">
      <c r="A145" s="19">
        <v>1817100750</v>
      </c>
      <c r="B145" s="94" t="str">
        <f t="shared" si="6"/>
        <v>750</v>
      </c>
      <c r="C145" s="20" t="s">
        <v>301</v>
      </c>
      <c r="D145" s="21">
        <v>365000</v>
      </c>
      <c r="E145" s="23">
        <v>333346.68</v>
      </c>
      <c r="F145" s="23">
        <f>E145+37000*3</f>
        <v>444346.68</v>
      </c>
      <c r="G145" s="23">
        <v>410000</v>
      </c>
      <c r="H145" s="25"/>
    </row>
    <row r="146" spans="1:8">
      <c r="A146" s="19">
        <v>1817300110</v>
      </c>
      <c r="B146" s="94" t="str">
        <f t="shared" si="6"/>
        <v>110</v>
      </c>
      <c r="C146" s="20" t="s">
        <v>302</v>
      </c>
      <c r="D146" s="21">
        <v>439977</v>
      </c>
      <c r="E146" s="22">
        <v>395046.65</v>
      </c>
      <c r="F146" s="23">
        <f>[1]שכר!G33</f>
        <v>487723</v>
      </c>
      <c r="G146" s="21">
        <f>[1]שכר!J33</f>
        <v>500000</v>
      </c>
      <c r="H146" s="37">
        <f>[1]שכר!K33/100</f>
        <v>2.5</v>
      </c>
    </row>
    <row r="147" spans="1:8">
      <c r="A147" s="19">
        <v>1817300750</v>
      </c>
      <c r="B147" s="94" t="str">
        <f t="shared" si="6"/>
        <v>750</v>
      </c>
      <c r="C147" s="20" t="s">
        <v>303</v>
      </c>
      <c r="D147" s="21">
        <v>18000</v>
      </c>
      <c r="E147" s="23">
        <v>16800</v>
      </c>
      <c r="F147" s="23">
        <v>16800</v>
      </c>
      <c r="G147" s="23">
        <v>18000</v>
      </c>
      <c r="H147" s="25"/>
    </row>
    <row r="148" spans="1:8">
      <c r="A148" s="19">
        <v>1817500441</v>
      </c>
      <c r="B148" s="94" t="str">
        <f t="shared" si="6"/>
        <v>441</v>
      </c>
      <c r="C148" s="20" t="s">
        <v>304</v>
      </c>
      <c r="D148" s="21">
        <v>87210</v>
      </c>
      <c r="E148" s="23">
        <v>87367</v>
      </c>
      <c r="F148" s="23">
        <v>87367</v>
      </c>
      <c r="G148" s="23">
        <f>1780*49+780</f>
        <v>88000</v>
      </c>
      <c r="H148" s="25"/>
    </row>
    <row r="149" spans="1:8">
      <c r="A149" s="19">
        <v>1817600110</v>
      </c>
      <c r="B149" s="94" t="str">
        <f t="shared" si="6"/>
        <v>110</v>
      </c>
      <c r="C149" s="20" t="s">
        <v>305</v>
      </c>
      <c r="D149" s="21">
        <v>684964</v>
      </c>
      <c r="E149" s="22">
        <v>688454.84</v>
      </c>
      <c r="F149" s="23">
        <f>[1]שכר!G34</f>
        <v>832192.84</v>
      </c>
      <c r="G149" s="21">
        <f>[1]שכר!J34</f>
        <v>910000</v>
      </c>
      <c r="H149" s="37">
        <f>[1]שכר!K34/100</f>
        <v>7.17</v>
      </c>
    </row>
    <row r="150" spans="1:8">
      <c r="A150" s="19">
        <v>1817600780</v>
      </c>
      <c r="B150" s="94" t="str">
        <f t="shared" si="6"/>
        <v>780</v>
      </c>
      <c r="C150" s="20" t="s">
        <v>306</v>
      </c>
      <c r="D150" s="21">
        <v>0</v>
      </c>
      <c r="E150" s="22"/>
      <c r="F150" s="23">
        <v>0</v>
      </c>
      <c r="G150" s="21">
        <v>15000</v>
      </c>
      <c r="H150" s="25"/>
    </row>
    <row r="151" spans="1:8">
      <c r="A151" s="19">
        <v>1817700110</v>
      </c>
      <c r="B151" s="94" t="str">
        <f t="shared" si="6"/>
        <v>110</v>
      </c>
      <c r="C151" s="20" t="s">
        <v>307</v>
      </c>
      <c r="D151" s="21">
        <v>205782</v>
      </c>
      <c r="E151" s="22">
        <v>177324.41</v>
      </c>
      <c r="F151" s="23">
        <f>[1]שכר!G35</f>
        <v>210862.41</v>
      </c>
      <c r="G151" s="21">
        <f>[1]שכר!J35</f>
        <v>216000</v>
      </c>
      <c r="H151" s="37">
        <f>[1]שכר!K35/100</f>
        <v>1</v>
      </c>
    </row>
    <row r="152" spans="1:8">
      <c r="A152" s="19">
        <v>1817700210</v>
      </c>
      <c r="B152" s="94" t="str">
        <f t="shared" si="6"/>
        <v>210</v>
      </c>
      <c r="C152" s="20" t="s">
        <v>308</v>
      </c>
      <c r="D152" s="21">
        <v>20000</v>
      </c>
      <c r="E152" s="22">
        <v>12258.67</v>
      </c>
      <c r="F152" s="23">
        <f>[1]שכר!G36</f>
        <v>12258.67</v>
      </c>
      <c r="G152" s="21">
        <f>[1]שכר!J36</f>
        <v>20000</v>
      </c>
      <c r="H152" s="25"/>
    </row>
    <row r="153" spans="1:8">
      <c r="A153" s="19">
        <v>1817700750</v>
      </c>
      <c r="B153" s="94" t="str">
        <f t="shared" si="6"/>
        <v>750</v>
      </c>
      <c r="C153" s="20" t="s">
        <v>309</v>
      </c>
      <c r="D153" s="21">
        <v>16000</v>
      </c>
      <c r="E153" s="23">
        <v>9283.5</v>
      </c>
      <c r="F153" s="23">
        <v>12000</v>
      </c>
      <c r="G153" s="23">
        <v>18000</v>
      </c>
      <c r="H153" s="25"/>
    </row>
    <row r="154" spans="1:8">
      <c r="A154" s="19">
        <v>1817800750</v>
      </c>
      <c r="B154" s="94" t="str">
        <f t="shared" si="6"/>
        <v>750</v>
      </c>
      <c r="C154" s="20" t="s">
        <v>310</v>
      </c>
      <c r="D154" s="21">
        <v>650000</v>
      </c>
      <c r="E154" s="23">
        <v>584927</v>
      </c>
      <c r="F154" s="23">
        <f>(3*80000)+E154</f>
        <v>824927</v>
      </c>
      <c r="G154" s="23">
        <v>825000</v>
      </c>
      <c r="H154" s="25"/>
    </row>
    <row r="155" spans="1:8">
      <c r="A155" s="19">
        <v>1817800751</v>
      </c>
      <c r="B155" s="94" t="str">
        <f t="shared" si="6"/>
        <v>751</v>
      </c>
      <c r="C155" s="20" t="s">
        <v>311</v>
      </c>
      <c r="D155" s="21">
        <v>550000</v>
      </c>
      <c r="E155" s="23">
        <v>453539</v>
      </c>
      <c r="F155" s="23">
        <f>(3*50000)+E155</f>
        <v>603539</v>
      </c>
      <c r="G155" s="23">
        <v>605000</v>
      </c>
      <c r="H155" s="25"/>
    </row>
    <row r="156" spans="1:8">
      <c r="A156" s="19">
        <v>1817810751</v>
      </c>
      <c r="B156" s="94" t="str">
        <f t="shared" si="6"/>
        <v>751</v>
      </c>
      <c r="C156" s="20" t="s">
        <v>312</v>
      </c>
      <c r="D156" s="21">
        <v>200000</v>
      </c>
      <c r="E156" s="23">
        <v>185566</v>
      </c>
      <c r="F156" s="23">
        <f>(2*15000)+E156</f>
        <v>215566</v>
      </c>
      <c r="G156" s="23">
        <f>200000-40000</f>
        <v>160000</v>
      </c>
      <c r="H156" s="25"/>
    </row>
    <row r="157" spans="1:8">
      <c r="A157" s="19">
        <v>1817900110</v>
      </c>
      <c r="B157" s="94" t="str">
        <f t="shared" si="6"/>
        <v>110</v>
      </c>
      <c r="C157" s="20" t="s">
        <v>313</v>
      </c>
      <c r="D157" s="21">
        <v>404471</v>
      </c>
      <c r="E157" s="22">
        <v>322713.19</v>
      </c>
      <c r="F157" s="23">
        <f>[1]שכר!G37</f>
        <v>386865.19</v>
      </c>
      <c r="G157" s="21">
        <f>[1]שכר!J37</f>
        <v>320000</v>
      </c>
      <c r="H157" s="37">
        <f>[1]שכר!K37/100</f>
        <v>2.9</v>
      </c>
    </row>
    <row r="158" spans="1:8">
      <c r="A158" s="19">
        <v>1817900430</v>
      </c>
      <c r="B158" s="94" t="str">
        <f t="shared" si="6"/>
        <v>430</v>
      </c>
      <c r="C158" s="20" t="s">
        <v>314</v>
      </c>
      <c r="D158" s="21">
        <v>0</v>
      </c>
      <c r="E158" s="22"/>
      <c r="F158" s="23">
        <v>0</v>
      </c>
      <c r="G158" s="21">
        <v>20000</v>
      </c>
      <c r="H158" s="25"/>
    </row>
    <row r="159" spans="1:8">
      <c r="A159" s="19">
        <v>1817900780</v>
      </c>
      <c r="B159" s="94" t="str">
        <f t="shared" si="6"/>
        <v>780</v>
      </c>
      <c r="C159" s="20" t="s">
        <v>315</v>
      </c>
      <c r="D159" s="21">
        <v>40000</v>
      </c>
      <c r="E159" s="23">
        <v>62498</v>
      </c>
      <c r="F159" s="23">
        <v>70000</v>
      </c>
      <c r="G159" s="23">
        <v>70000</v>
      </c>
      <c r="H159" s="25"/>
    </row>
    <row r="160" spans="1:8">
      <c r="A160" s="19">
        <v>1823000110</v>
      </c>
      <c r="B160" s="94" t="str">
        <f t="shared" si="6"/>
        <v>110</v>
      </c>
      <c r="C160" s="20" t="s">
        <v>316</v>
      </c>
      <c r="D160" s="21">
        <v>143247</v>
      </c>
      <c r="E160" s="22">
        <v>121475.31</v>
      </c>
      <c r="F160" s="23">
        <f>[1]שכר!G38</f>
        <v>156063</v>
      </c>
      <c r="G160" s="21">
        <f>[1]שכר!J38</f>
        <v>160000</v>
      </c>
      <c r="H160" s="37">
        <f>[1]שכר!K38/100</f>
        <v>1</v>
      </c>
    </row>
    <row r="161" spans="1:10">
      <c r="A161" s="19">
        <v>1823000410</v>
      </c>
      <c r="B161" s="94" t="str">
        <f t="shared" si="6"/>
        <v>410</v>
      </c>
      <c r="C161" s="20" t="s">
        <v>317</v>
      </c>
      <c r="D161" s="21">
        <v>83920</v>
      </c>
      <c r="E161" s="23">
        <v>75280</v>
      </c>
      <c r="F161" s="23">
        <f>(2340+2640+2200)*2+E161</f>
        <v>89640</v>
      </c>
      <c r="G161" s="23">
        <f>(2340+2640+2200)*12-160</f>
        <v>86000</v>
      </c>
      <c r="H161" s="25"/>
    </row>
    <row r="162" spans="1:10">
      <c r="A162" s="19">
        <v>1823000540</v>
      </c>
      <c r="B162" s="94" t="str">
        <f t="shared" si="6"/>
        <v>540</v>
      </c>
      <c r="C162" s="20" t="s">
        <v>318</v>
      </c>
      <c r="D162" s="21">
        <v>3000</v>
      </c>
      <c r="E162" s="23">
        <v>3425.55</v>
      </c>
      <c r="F162" s="23">
        <f>E162+(400*3)</f>
        <v>4625.55</v>
      </c>
      <c r="G162" s="23">
        <v>3000</v>
      </c>
      <c r="H162" s="25"/>
    </row>
    <row r="163" spans="1:10">
      <c r="A163" s="19">
        <v>1823000740</v>
      </c>
      <c r="B163" s="94" t="str">
        <f t="shared" si="6"/>
        <v>740</v>
      </c>
      <c r="C163" s="20" t="s">
        <v>319</v>
      </c>
      <c r="D163" s="21">
        <v>2000</v>
      </c>
      <c r="E163" s="23">
        <v>1026</v>
      </c>
      <c r="F163" s="23">
        <v>1500</v>
      </c>
      <c r="G163" s="23">
        <v>2000</v>
      </c>
      <c r="H163" s="25"/>
    </row>
    <row r="164" spans="1:10">
      <c r="A164" s="19">
        <v>1824000780</v>
      </c>
      <c r="B164" s="94" t="str">
        <f t="shared" si="6"/>
        <v>780</v>
      </c>
      <c r="C164" s="20" t="s">
        <v>320</v>
      </c>
      <c r="D164" s="21">
        <v>260000</v>
      </c>
      <c r="E164" s="23">
        <v>254000</v>
      </c>
      <c r="F164" s="23">
        <v>260000</v>
      </c>
      <c r="G164" s="23">
        <v>670000</v>
      </c>
      <c r="H164" s="25"/>
    </row>
    <row r="165" spans="1:10">
      <c r="A165" s="19">
        <v>1824000810</v>
      </c>
      <c r="B165" s="94" t="str">
        <f t="shared" si="6"/>
        <v>810</v>
      </c>
      <c r="C165" s="20" t="s">
        <v>321</v>
      </c>
      <c r="D165" s="21">
        <v>520000</v>
      </c>
      <c r="E165" s="23">
        <v>201956</v>
      </c>
      <c r="F165" s="23">
        <f>E165+(15000*6)+30000</f>
        <v>321956</v>
      </c>
      <c r="G165" s="23">
        <v>360000</v>
      </c>
      <c r="H165" s="25"/>
      <c r="J165" s="32" t="s">
        <v>496</v>
      </c>
    </row>
    <row r="166" spans="1:10">
      <c r="A166" s="19">
        <v>1828200110</v>
      </c>
      <c r="B166" s="94" t="str">
        <f t="shared" si="6"/>
        <v>110</v>
      </c>
      <c r="C166" s="20" t="s">
        <v>322</v>
      </c>
      <c r="D166" s="21">
        <v>142316</v>
      </c>
      <c r="E166" s="22">
        <v>129846.88</v>
      </c>
      <c r="F166" s="23">
        <f>[1]שכר!G39</f>
        <v>154262.88</v>
      </c>
      <c r="G166" s="21">
        <f>[1]שכר!J39</f>
        <v>110000</v>
      </c>
      <c r="H166" s="37">
        <f>[1]שכר!K39/100</f>
        <v>1</v>
      </c>
    </row>
    <row r="167" spans="1:10">
      <c r="A167" s="19">
        <v>1828210110</v>
      </c>
      <c r="B167" s="94" t="str">
        <f t="shared" si="6"/>
        <v>110</v>
      </c>
      <c r="C167" s="20" t="s">
        <v>323</v>
      </c>
      <c r="D167" s="21">
        <v>0</v>
      </c>
      <c r="E167" s="22"/>
      <c r="F167" s="23">
        <v>0</v>
      </c>
      <c r="G167" s="21">
        <v>0</v>
      </c>
      <c r="H167" s="24">
        <v>0</v>
      </c>
    </row>
    <row r="168" spans="1:10">
      <c r="A168" s="19">
        <v>1828200430</v>
      </c>
      <c r="B168" s="94" t="str">
        <f t="shared" si="6"/>
        <v>430</v>
      </c>
      <c r="C168" s="20" t="s">
        <v>171</v>
      </c>
      <c r="D168" s="21"/>
      <c r="E168" s="23">
        <v>633.75</v>
      </c>
      <c r="F168" s="23">
        <v>1000</v>
      </c>
      <c r="G168" s="23">
        <v>1000</v>
      </c>
      <c r="H168" s="25"/>
    </row>
    <row r="169" spans="1:10">
      <c r="A169" s="19">
        <v>1828200750</v>
      </c>
      <c r="B169" s="94" t="str">
        <f t="shared" si="6"/>
        <v>750</v>
      </c>
      <c r="C169" s="20" t="s">
        <v>324</v>
      </c>
      <c r="D169" s="21">
        <v>18000</v>
      </c>
      <c r="E169" s="23">
        <v>12731.01</v>
      </c>
      <c r="F169" s="23">
        <f>E169+(200*7)</f>
        <v>14131.01</v>
      </c>
      <c r="G169" s="23">
        <v>18000</v>
      </c>
      <c r="H169" s="25"/>
    </row>
    <row r="170" spans="1:10">
      <c r="A170" s="19">
        <v>1828200780</v>
      </c>
      <c r="B170" s="94" t="str">
        <f t="shared" si="6"/>
        <v>780</v>
      </c>
      <c r="C170" s="20" t="s">
        <v>325</v>
      </c>
      <c r="D170" s="21">
        <v>15000</v>
      </c>
      <c r="E170" s="23">
        <v>13880</v>
      </c>
      <c r="F170" s="23">
        <v>14000</v>
      </c>
      <c r="G170" s="23">
        <v>15000</v>
      </c>
      <c r="H170" s="25"/>
    </row>
    <row r="171" spans="1:10">
      <c r="A171" s="19">
        <v>1828900780</v>
      </c>
      <c r="B171" s="94" t="str">
        <f t="shared" si="6"/>
        <v>780</v>
      </c>
      <c r="C171" s="20" t="s">
        <v>326</v>
      </c>
      <c r="D171" s="20">
        <v>0</v>
      </c>
      <c r="E171" s="23">
        <v>521.28</v>
      </c>
      <c r="F171" s="23">
        <v>1000</v>
      </c>
      <c r="G171" s="23">
        <v>0</v>
      </c>
      <c r="H171" s="25"/>
    </row>
    <row r="172" spans="1:10">
      <c r="A172" s="19">
        <v>1829200110</v>
      </c>
      <c r="B172" s="94" t="str">
        <f t="shared" si="6"/>
        <v>110</v>
      </c>
      <c r="C172" s="20" t="s">
        <v>327</v>
      </c>
      <c r="D172" s="21">
        <v>135428</v>
      </c>
      <c r="E172" s="22">
        <v>128225.98</v>
      </c>
      <c r="F172" s="23">
        <f>[1]שכר!G41</f>
        <v>150759.97999999998</v>
      </c>
      <c r="G172" s="21">
        <f>[1]שכר!J41</f>
        <v>130000</v>
      </c>
      <c r="H172" s="37">
        <f>[1]שכר!K41/100</f>
        <v>0.5</v>
      </c>
    </row>
    <row r="173" spans="1:10">
      <c r="A173" s="19">
        <v>1829200430</v>
      </c>
      <c r="B173" s="94" t="str">
        <f t="shared" si="6"/>
        <v>430</v>
      </c>
      <c r="C173" s="20" t="s">
        <v>328</v>
      </c>
      <c r="D173" s="21">
        <v>80000</v>
      </c>
      <c r="E173" s="23">
        <v>162738.17000000001</v>
      </c>
      <c r="F173" s="23">
        <v>192000</v>
      </c>
      <c r="G173" s="23">
        <v>162000</v>
      </c>
      <c r="H173" s="25"/>
    </row>
    <row r="174" spans="1:10">
      <c r="A174" s="19">
        <v>1829200740</v>
      </c>
      <c r="B174" s="94" t="str">
        <f t="shared" si="6"/>
        <v>740</v>
      </c>
      <c r="C174" s="20" t="s">
        <v>329</v>
      </c>
      <c r="D174" s="21">
        <v>30000</v>
      </c>
      <c r="E174" s="23">
        <v>12777.4</v>
      </c>
      <c r="F174" s="23">
        <v>17000</v>
      </c>
      <c r="G174" s="23">
        <v>25000</v>
      </c>
      <c r="H174" s="25"/>
    </row>
    <row r="175" spans="1:10">
      <c r="A175" s="19">
        <v>1829200750</v>
      </c>
      <c r="B175" s="94" t="str">
        <f t="shared" si="6"/>
        <v>750</v>
      </c>
      <c r="C175" s="20" t="s">
        <v>330</v>
      </c>
      <c r="D175" s="20">
        <v>0</v>
      </c>
      <c r="E175" s="23">
        <v>900.64</v>
      </c>
      <c r="F175" s="23"/>
      <c r="G175" s="23">
        <v>30000</v>
      </c>
      <c r="H175" s="25"/>
    </row>
    <row r="176" spans="1:10">
      <c r="A176" s="19">
        <v>1829930780</v>
      </c>
      <c r="B176" s="94" t="str">
        <f t="shared" si="6"/>
        <v>780</v>
      </c>
      <c r="C176" s="20" t="s">
        <v>331</v>
      </c>
      <c r="D176" s="20">
        <v>0</v>
      </c>
      <c r="E176" s="23">
        <v>200.64</v>
      </c>
      <c r="F176" s="23"/>
      <c r="G176" s="23">
        <v>0</v>
      </c>
      <c r="H176" s="25"/>
    </row>
    <row r="177" spans="1:10">
      <c r="A177" s="19">
        <v>1832400110</v>
      </c>
      <c r="B177" s="94" t="str">
        <f t="shared" si="6"/>
        <v>110</v>
      </c>
      <c r="C177" s="20" t="s">
        <v>332</v>
      </c>
      <c r="D177" s="21">
        <v>188508</v>
      </c>
      <c r="E177" s="22">
        <v>157517.35999999999</v>
      </c>
      <c r="F177" s="23">
        <f>[1]שכר!G42</f>
        <v>207091</v>
      </c>
      <c r="G177" s="21">
        <f>[1]שכר!J42</f>
        <v>213000</v>
      </c>
      <c r="H177" s="37">
        <f>[1]שכר!K42/100</f>
        <v>1.4</v>
      </c>
    </row>
    <row r="178" spans="1:10">
      <c r="A178" s="19">
        <v>1832400310</v>
      </c>
      <c r="B178" s="94" t="str">
        <f t="shared" si="6"/>
        <v>310</v>
      </c>
      <c r="C178" s="20" t="s">
        <v>333</v>
      </c>
      <c r="D178" s="21"/>
      <c r="E178" s="22">
        <v>22620.94</v>
      </c>
      <c r="F178" s="23">
        <f>[1]שכר!G43</f>
        <v>22620.94</v>
      </c>
      <c r="G178" s="21">
        <f>[1]שכר!J43</f>
        <v>0</v>
      </c>
      <c r="H178" s="24">
        <f>[1]שכר!K43</f>
        <v>0</v>
      </c>
    </row>
    <row r="179" spans="1:10">
      <c r="A179" s="19">
        <v>1832400430</v>
      </c>
      <c r="B179" s="94" t="str">
        <f t="shared" si="6"/>
        <v>430</v>
      </c>
      <c r="C179" s="20" t="s">
        <v>334</v>
      </c>
      <c r="D179" s="21">
        <v>10000</v>
      </c>
      <c r="E179" s="23">
        <v>3893.34</v>
      </c>
      <c r="F179" s="23">
        <v>6000</v>
      </c>
      <c r="G179" s="23">
        <f>1000*6</f>
        <v>6000</v>
      </c>
      <c r="H179" s="25"/>
    </row>
    <row r="180" spans="1:10">
      <c r="A180" s="19">
        <v>1835000750</v>
      </c>
      <c r="B180" s="94" t="str">
        <f t="shared" si="6"/>
        <v>750</v>
      </c>
      <c r="C180" s="20" t="s">
        <v>335</v>
      </c>
      <c r="D180" s="21">
        <v>5000</v>
      </c>
      <c r="E180" s="23">
        <v>1888</v>
      </c>
      <c r="F180" s="23">
        <v>2000</v>
      </c>
      <c r="G180" s="23">
        <v>3000</v>
      </c>
      <c r="H180" s="25"/>
    </row>
    <row r="181" spans="1:10">
      <c r="A181" s="19">
        <v>1841000110</v>
      </c>
      <c r="B181" s="94" t="str">
        <f t="shared" si="6"/>
        <v>110</v>
      </c>
      <c r="C181" s="20" t="s">
        <v>336</v>
      </c>
      <c r="D181" s="21">
        <v>830331</v>
      </c>
      <c r="E181" s="22">
        <v>774553.4</v>
      </c>
      <c r="F181" s="23">
        <f>[1]שכר!G44</f>
        <v>918369.4</v>
      </c>
      <c r="G181" s="21">
        <f>[1]שכר!J44</f>
        <v>992000</v>
      </c>
      <c r="H181" s="37">
        <f>[1]שכר!K44/100</f>
        <v>5.22</v>
      </c>
    </row>
    <row r="182" spans="1:10">
      <c r="A182" s="19">
        <v>1841000430</v>
      </c>
      <c r="B182" s="94" t="str">
        <f t="shared" si="6"/>
        <v>430</v>
      </c>
      <c r="C182" s="20" t="s">
        <v>337</v>
      </c>
      <c r="D182" s="21">
        <v>50000</v>
      </c>
      <c r="E182" s="23">
        <v>17001.330000000002</v>
      </c>
      <c r="F182" s="23">
        <v>20402</v>
      </c>
      <c r="G182" s="23">
        <v>20000</v>
      </c>
      <c r="H182" s="25"/>
    </row>
    <row r="183" spans="1:10">
      <c r="A183" s="19">
        <v>1841000540</v>
      </c>
      <c r="B183" s="94" t="str">
        <f t="shared" si="6"/>
        <v>540</v>
      </c>
      <c r="C183" s="20" t="s">
        <v>338</v>
      </c>
      <c r="D183" s="21">
        <v>15000</v>
      </c>
      <c r="E183" s="23">
        <v>18647.87</v>
      </c>
      <c r="F183" s="23">
        <f>E183/9*12</f>
        <v>24863.826666666668</v>
      </c>
      <c r="G183" s="23">
        <v>25000</v>
      </c>
      <c r="H183" s="25"/>
    </row>
    <row r="184" spans="1:10">
      <c r="A184" s="19">
        <v>1841000740</v>
      </c>
      <c r="B184" s="94" t="str">
        <f t="shared" si="6"/>
        <v>740</v>
      </c>
      <c r="C184" s="20" t="s">
        <v>339</v>
      </c>
      <c r="D184" s="21">
        <v>10000</v>
      </c>
      <c r="E184" s="23">
        <v>2695.68</v>
      </c>
      <c r="F184" s="23">
        <v>3235</v>
      </c>
      <c r="G184" s="23">
        <v>3000</v>
      </c>
      <c r="H184" s="25"/>
    </row>
    <row r="185" spans="1:10">
      <c r="A185" s="19">
        <v>1841020750</v>
      </c>
      <c r="B185" s="94" t="str">
        <f t="shared" si="6"/>
        <v>750</v>
      </c>
      <c r="C185" s="20" t="s">
        <v>340</v>
      </c>
      <c r="D185" s="21">
        <v>5000</v>
      </c>
      <c r="E185" s="23">
        <v>3474.04</v>
      </c>
      <c r="F185" s="23">
        <v>4085</v>
      </c>
      <c r="G185" s="23">
        <v>3000</v>
      </c>
      <c r="H185" s="25"/>
    </row>
    <row r="186" spans="1:10">
      <c r="A186" s="19">
        <v>1841020840</v>
      </c>
      <c r="B186" s="94" t="str">
        <f t="shared" si="6"/>
        <v>840</v>
      </c>
      <c r="C186" s="20" t="s">
        <v>341</v>
      </c>
      <c r="D186" s="21">
        <v>10000</v>
      </c>
      <c r="E186" s="23">
        <v>2411</v>
      </c>
      <c r="F186" s="23">
        <v>2893</v>
      </c>
      <c r="G186" s="23">
        <v>3000</v>
      </c>
      <c r="H186" s="25"/>
    </row>
    <row r="187" spans="1:10">
      <c r="A187" s="19">
        <v>1842000210</v>
      </c>
      <c r="B187" s="94" t="str">
        <f t="shared" si="6"/>
        <v>210</v>
      </c>
      <c r="C187" s="20" t="s">
        <v>342</v>
      </c>
      <c r="D187" s="21">
        <v>176000</v>
      </c>
      <c r="E187" s="22">
        <v>10370.83</v>
      </c>
      <c r="F187" s="23">
        <f>[1]שכר!G45</f>
        <v>10370.83</v>
      </c>
      <c r="G187" s="21">
        <f>[1]שכר!J45</f>
        <v>209000</v>
      </c>
      <c r="H187" s="37">
        <f>[1]שכר!K45/100</f>
        <v>1.75</v>
      </c>
    </row>
    <row r="188" spans="1:10">
      <c r="A188" s="19">
        <v>1842000840</v>
      </c>
      <c r="B188" s="94" t="str">
        <f t="shared" si="6"/>
        <v>840</v>
      </c>
      <c r="C188" s="20" t="s">
        <v>343</v>
      </c>
      <c r="D188" s="21">
        <v>62000</v>
      </c>
      <c r="E188" s="23">
        <v>0</v>
      </c>
      <c r="F188" s="23">
        <v>57000</v>
      </c>
      <c r="G188" s="23">
        <f>'[1]רווחה הכנס-הוצ'!P9</f>
        <v>303657</v>
      </c>
      <c r="H188" s="25"/>
      <c r="J188" s="32" t="s">
        <v>496</v>
      </c>
    </row>
    <row r="189" spans="1:10">
      <c r="A189" s="19">
        <v>1842200840</v>
      </c>
      <c r="B189" s="94" t="str">
        <f t="shared" si="6"/>
        <v>840</v>
      </c>
      <c r="C189" s="20" t="s">
        <v>118</v>
      </c>
      <c r="D189" s="21">
        <v>60000</v>
      </c>
      <c r="E189" s="23">
        <v>82272.78</v>
      </c>
      <c r="F189" s="23">
        <v>98727</v>
      </c>
      <c r="G189" s="23">
        <f>'[1]רווחה הכנס-הוצ'!P10</f>
        <v>80000</v>
      </c>
      <c r="H189" s="25"/>
    </row>
    <row r="190" spans="1:10">
      <c r="A190" s="19">
        <v>1842201840</v>
      </c>
      <c r="B190" s="94" t="str">
        <f t="shared" si="6"/>
        <v>840</v>
      </c>
      <c r="C190" s="20" t="s">
        <v>344</v>
      </c>
      <c r="D190" s="21">
        <v>28000</v>
      </c>
      <c r="E190" s="23">
        <v>800</v>
      </c>
      <c r="F190" s="23">
        <v>960</v>
      </c>
      <c r="G190" s="23">
        <f>'[1]רווחה הכנס-הוצ'!P11</f>
        <v>28000</v>
      </c>
      <c r="H190" s="25"/>
    </row>
    <row r="191" spans="1:10">
      <c r="A191" s="19">
        <v>1842401840</v>
      </c>
      <c r="B191" s="94" t="str">
        <f t="shared" si="6"/>
        <v>840</v>
      </c>
      <c r="C191" s="20" t="s">
        <v>121</v>
      </c>
      <c r="D191" s="21">
        <v>12000</v>
      </c>
      <c r="E191" s="23">
        <v>1452</v>
      </c>
      <c r="F191" s="23">
        <v>1742</v>
      </c>
      <c r="G191" s="23">
        <f>'[1]רווחה הכנס-הוצ'!P12</f>
        <v>2000</v>
      </c>
      <c r="H191" s="25"/>
    </row>
    <row r="192" spans="1:10">
      <c r="A192" s="19">
        <v>1843500110</v>
      </c>
      <c r="B192" s="94" t="str">
        <f t="shared" si="6"/>
        <v>110</v>
      </c>
      <c r="C192" s="20" t="s">
        <v>345</v>
      </c>
      <c r="D192" s="21">
        <v>69800</v>
      </c>
      <c r="E192" s="22">
        <v>58762.01</v>
      </c>
      <c r="F192" s="23">
        <f>[1]שכר!G46</f>
        <v>71182.010000000009</v>
      </c>
      <c r="G192" s="21">
        <f>[1]שכר!J46</f>
        <v>73000</v>
      </c>
      <c r="H192" s="37">
        <f>[1]שכר!K46/100</f>
        <v>0.5</v>
      </c>
    </row>
    <row r="193" spans="1:10">
      <c r="A193" s="19">
        <v>1843500780</v>
      </c>
      <c r="B193" s="94" t="str">
        <f t="shared" si="6"/>
        <v>780</v>
      </c>
      <c r="C193" s="20" t="s">
        <v>346</v>
      </c>
      <c r="D193" s="21">
        <v>94000</v>
      </c>
      <c r="E193" s="23">
        <v>0</v>
      </c>
      <c r="F193" s="23">
        <v>64000</v>
      </c>
      <c r="G193" s="23">
        <f>'[1]רווחה הכנס-הוצ'!P14</f>
        <v>86000</v>
      </c>
      <c r="H193" s="25"/>
      <c r="J193" s="32" t="s">
        <v>496</v>
      </c>
    </row>
    <row r="194" spans="1:10">
      <c r="A194" s="19">
        <v>1843500840</v>
      </c>
      <c r="B194" s="94" t="str">
        <f t="shared" si="6"/>
        <v>840</v>
      </c>
      <c r="C194" s="20" t="s">
        <v>122</v>
      </c>
      <c r="D194" s="21">
        <v>556000</v>
      </c>
      <c r="E194" s="23">
        <v>418040.38</v>
      </c>
      <c r="F194" s="23">
        <v>501648</v>
      </c>
      <c r="G194" s="23">
        <f>'[1]רווחה הכנס-הוצ'!P15</f>
        <v>522000</v>
      </c>
      <c r="H194" s="25"/>
    </row>
    <row r="195" spans="1:10">
      <c r="A195" s="19">
        <v>1843501780</v>
      </c>
      <c r="B195" s="94" t="str">
        <f t="shared" ref="B195:B230" si="7">MID(A195,8,3)</f>
        <v>780</v>
      </c>
      <c r="C195" s="20" t="s">
        <v>347</v>
      </c>
      <c r="D195" s="21">
        <v>31000</v>
      </c>
      <c r="E195" s="23">
        <v>0</v>
      </c>
      <c r="F195" s="23">
        <v>0</v>
      </c>
      <c r="G195" s="23">
        <f>'[1]רווחה הכנס-הוצ'!P16</f>
        <v>15000</v>
      </c>
      <c r="H195" s="25"/>
    </row>
    <row r="196" spans="1:10">
      <c r="A196" s="19">
        <v>1843501840</v>
      </c>
      <c r="B196" s="94" t="str">
        <f t="shared" si="7"/>
        <v>840</v>
      </c>
      <c r="C196" s="20" t="s">
        <v>348</v>
      </c>
      <c r="D196" s="21">
        <v>93000</v>
      </c>
      <c r="E196" s="23">
        <v>1662.26</v>
      </c>
      <c r="F196" s="23">
        <v>1995</v>
      </c>
      <c r="G196" s="23">
        <f>'[1]רווחה הכנס-הוצ'!P17</f>
        <v>45000</v>
      </c>
      <c r="H196" s="25"/>
    </row>
    <row r="197" spans="1:10">
      <c r="A197" s="19">
        <v>1843700840</v>
      </c>
      <c r="B197" s="94" t="str">
        <f t="shared" si="7"/>
        <v>840</v>
      </c>
      <c r="C197" s="20" t="s">
        <v>349</v>
      </c>
      <c r="D197" s="21">
        <v>330000</v>
      </c>
      <c r="E197" s="23">
        <v>178031</v>
      </c>
      <c r="F197" s="23">
        <v>213637</v>
      </c>
      <c r="G197" s="23">
        <f>'[1]רווחה הכנס-הוצ'!P18</f>
        <v>300000</v>
      </c>
      <c r="H197" s="25"/>
    </row>
    <row r="198" spans="1:10">
      <c r="A198" s="19">
        <v>1843800840</v>
      </c>
      <c r="B198" s="94" t="str">
        <f t="shared" si="7"/>
        <v>840</v>
      </c>
      <c r="C198" s="20" t="s">
        <v>126</v>
      </c>
      <c r="D198" s="21">
        <v>150000</v>
      </c>
      <c r="E198" s="23">
        <v>5026</v>
      </c>
      <c r="F198" s="23">
        <v>6031</v>
      </c>
      <c r="G198" s="23">
        <f>'[1]רווחה הכנס-הוצ'!P19</f>
        <v>8000</v>
      </c>
      <c r="H198" s="25"/>
    </row>
    <row r="199" spans="1:10">
      <c r="A199" s="19">
        <v>1843900840</v>
      </c>
      <c r="B199" s="94" t="str">
        <f t="shared" si="7"/>
        <v>840</v>
      </c>
      <c r="C199" s="20" t="s">
        <v>350</v>
      </c>
      <c r="D199" s="21">
        <v>370000</v>
      </c>
      <c r="E199" s="23">
        <v>409179</v>
      </c>
      <c r="F199" s="23">
        <v>491015</v>
      </c>
      <c r="G199" s="23">
        <f>'[1]רווחה הכנס-הוצ'!P20</f>
        <v>480000</v>
      </c>
      <c r="H199" s="25"/>
    </row>
    <row r="200" spans="1:10">
      <c r="A200" s="19">
        <v>1844400110</v>
      </c>
      <c r="B200" s="94" t="str">
        <f t="shared" si="7"/>
        <v>110</v>
      </c>
      <c r="C200" s="20" t="s">
        <v>351</v>
      </c>
      <c r="D200" s="21">
        <v>111569</v>
      </c>
      <c r="E200" s="22">
        <v>91183.08</v>
      </c>
      <c r="F200" s="23">
        <f>[1]שכר!G47</f>
        <v>106923</v>
      </c>
      <c r="G200" s="21">
        <f>[1]שכר!J47</f>
        <v>110000</v>
      </c>
      <c r="H200" s="37">
        <f>[1]שכר!K47/100</f>
        <v>1</v>
      </c>
    </row>
    <row r="201" spans="1:10">
      <c r="A201" s="19">
        <v>1844400840</v>
      </c>
      <c r="B201" s="94" t="str">
        <f t="shared" si="7"/>
        <v>840</v>
      </c>
      <c r="C201" s="20" t="s">
        <v>129</v>
      </c>
      <c r="D201" s="20">
        <v>0</v>
      </c>
      <c r="E201" s="23">
        <f>14465-2500</f>
        <v>11965</v>
      </c>
      <c r="F201" s="23">
        <v>14358</v>
      </c>
      <c r="G201" s="23">
        <f>'[1]רווחה הכנס-הוצ'!P22</f>
        <v>14000</v>
      </c>
      <c r="H201" s="25"/>
    </row>
    <row r="202" spans="1:10">
      <c r="A202" s="19">
        <v>1844410740</v>
      </c>
      <c r="B202" s="94" t="str">
        <f t="shared" si="7"/>
        <v>740</v>
      </c>
      <c r="C202" s="20" t="s">
        <v>352</v>
      </c>
      <c r="D202" s="21">
        <v>35000</v>
      </c>
      <c r="E202" s="23">
        <v>0</v>
      </c>
      <c r="F202" s="23">
        <v>0</v>
      </c>
      <c r="G202" s="23">
        <f>'[1]רווחה הכנס-הוצ'!P23</f>
        <v>0</v>
      </c>
      <c r="H202" s="25"/>
    </row>
    <row r="203" spans="1:10">
      <c r="A203" s="19">
        <v>1844410750</v>
      </c>
      <c r="B203" s="94" t="str">
        <f t="shared" si="7"/>
        <v>750</v>
      </c>
      <c r="C203" s="20" t="s">
        <v>353</v>
      </c>
      <c r="D203" s="21">
        <v>4000</v>
      </c>
      <c r="E203" s="23">
        <v>1315</v>
      </c>
      <c r="F203" s="23">
        <v>1578</v>
      </c>
      <c r="G203" s="23">
        <f>'[1]רווחה הכנס-הוצ'!P24</f>
        <v>2000</v>
      </c>
      <c r="H203" s="25"/>
    </row>
    <row r="204" spans="1:10">
      <c r="A204" s="19">
        <v>1844411840</v>
      </c>
      <c r="B204" s="94" t="str">
        <f t="shared" si="7"/>
        <v>840</v>
      </c>
      <c r="C204" s="20" t="s">
        <v>354</v>
      </c>
      <c r="D204" s="21">
        <v>30000</v>
      </c>
      <c r="E204" s="23">
        <v>6675.49</v>
      </c>
      <c r="F204" s="23">
        <v>8011</v>
      </c>
      <c r="G204" s="23">
        <f>'[1]רווחה הכנס-הוצ'!P25</f>
        <v>10000</v>
      </c>
      <c r="H204" s="25"/>
    </row>
    <row r="205" spans="1:10">
      <c r="A205" s="19">
        <v>1844500840</v>
      </c>
      <c r="B205" s="94" t="str">
        <f t="shared" si="7"/>
        <v>840</v>
      </c>
      <c r="C205" s="20" t="s">
        <v>355</v>
      </c>
      <c r="D205" s="21">
        <v>488000</v>
      </c>
      <c r="E205" s="23">
        <f>377762+25392</f>
        <v>403154</v>
      </c>
      <c r="F205" s="23">
        <v>483785</v>
      </c>
      <c r="G205" s="23">
        <f>'[1]רווחה הכנס-הוצ'!P26</f>
        <v>485000</v>
      </c>
      <c r="H205" s="25"/>
    </row>
    <row r="206" spans="1:10">
      <c r="A206" s="19">
        <v>1845100840</v>
      </c>
      <c r="B206" s="94" t="str">
        <f t="shared" si="7"/>
        <v>840</v>
      </c>
      <c r="C206" s="20" t="s">
        <v>356</v>
      </c>
      <c r="D206" s="21">
        <v>800000</v>
      </c>
      <c r="E206" s="23">
        <v>712129</v>
      </c>
      <c r="F206" s="23">
        <v>854555</v>
      </c>
      <c r="G206" s="23">
        <f>'[1]רווחה הכנס-הוצ'!P27</f>
        <v>850000</v>
      </c>
      <c r="H206" s="25"/>
    </row>
    <row r="207" spans="1:10">
      <c r="A207" s="19">
        <v>1845220840</v>
      </c>
      <c r="B207" s="94" t="str">
        <f t="shared" si="7"/>
        <v>840</v>
      </c>
      <c r="C207" s="20" t="s">
        <v>133</v>
      </c>
      <c r="D207" s="21">
        <v>320000</v>
      </c>
      <c r="E207" s="23">
        <f>289904+43597</f>
        <v>333501</v>
      </c>
      <c r="F207" s="23">
        <v>400201</v>
      </c>
      <c r="G207" s="23">
        <f>'[1]רווחה הכנס-הוצ'!P28</f>
        <v>383000</v>
      </c>
      <c r="H207" s="25"/>
    </row>
    <row r="208" spans="1:10">
      <c r="A208" s="19">
        <v>1845230840</v>
      </c>
      <c r="B208" s="94" t="str">
        <f t="shared" si="7"/>
        <v>840</v>
      </c>
      <c r="C208" s="20" t="s">
        <v>134</v>
      </c>
      <c r="D208" s="21">
        <v>70000</v>
      </c>
      <c r="E208" s="23">
        <f>62610+6905</f>
        <v>69515</v>
      </c>
      <c r="F208" s="23">
        <v>83418</v>
      </c>
      <c r="G208" s="23">
        <f>'[1]רווחה הכנס-הוצ'!P29</f>
        <v>84000</v>
      </c>
      <c r="H208" s="25"/>
    </row>
    <row r="209" spans="1:8">
      <c r="A209" s="19">
        <v>1845231840</v>
      </c>
      <c r="B209" s="94" t="str">
        <f t="shared" si="7"/>
        <v>840</v>
      </c>
      <c r="C209" s="20" t="s">
        <v>357</v>
      </c>
      <c r="D209" s="21">
        <v>5000</v>
      </c>
      <c r="E209" s="23">
        <v>9450</v>
      </c>
      <c r="F209" s="23">
        <v>11340</v>
      </c>
      <c r="G209" s="23">
        <f>'[1]רווחה הכנס-הוצ'!P30</f>
        <v>9000</v>
      </c>
      <c r="H209" s="25"/>
    </row>
    <row r="210" spans="1:8">
      <c r="A210" s="19">
        <v>1845300840</v>
      </c>
      <c r="B210" s="94" t="str">
        <f t="shared" si="7"/>
        <v>840</v>
      </c>
      <c r="C210" s="20" t="s">
        <v>358</v>
      </c>
      <c r="D210" s="21">
        <v>264000</v>
      </c>
      <c r="E210" s="23">
        <v>434854</v>
      </c>
      <c r="F210" s="23">
        <v>521825</v>
      </c>
      <c r="G210" s="23">
        <f>'[1]רווחה הכנס-הוצ'!P31</f>
        <v>561000</v>
      </c>
      <c r="H210" s="25"/>
    </row>
    <row r="211" spans="1:8">
      <c r="A211" s="19">
        <v>1846300840</v>
      </c>
      <c r="B211" s="94" t="str">
        <f t="shared" si="7"/>
        <v>840</v>
      </c>
      <c r="C211" s="20" t="s">
        <v>136</v>
      </c>
      <c r="D211" s="20">
        <v>0</v>
      </c>
      <c r="E211" s="23">
        <v>2772</v>
      </c>
      <c r="F211" s="23">
        <v>3326</v>
      </c>
      <c r="G211" s="23">
        <f>'[1]רווחה הכנס-הוצ'!P32</f>
        <v>3326</v>
      </c>
      <c r="H211" s="25"/>
    </row>
    <row r="212" spans="1:8">
      <c r="A212" s="19">
        <v>1846500840</v>
      </c>
      <c r="B212" s="94" t="str">
        <f t="shared" si="7"/>
        <v>840</v>
      </c>
      <c r="C212" s="20" t="s">
        <v>137</v>
      </c>
      <c r="D212" s="20">
        <v>0</v>
      </c>
      <c r="E212" s="23">
        <v>104435</v>
      </c>
      <c r="F212" s="23">
        <v>125322</v>
      </c>
      <c r="G212" s="23">
        <f>'[1]רווחה הכנס-הוצ'!P33</f>
        <v>125322</v>
      </c>
      <c r="H212" s="25"/>
    </row>
    <row r="213" spans="1:8">
      <c r="A213" s="19">
        <v>1846600840</v>
      </c>
      <c r="B213" s="94" t="str">
        <f t="shared" si="7"/>
        <v>840</v>
      </c>
      <c r="C213" s="20" t="s">
        <v>359</v>
      </c>
      <c r="D213" s="21">
        <v>25000</v>
      </c>
      <c r="E213" s="23">
        <v>36406</v>
      </c>
      <c r="F213" s="23">
        <v>43687</v>
      </c>
      <c r="G213" s="23">
        <f>'[1]רווחה הכנס-הוצ'!P34</f>
        <v>43687</v>
      </c>
      <c r="H213" s="25"/>
    </row>
    <row r="214" spans="1:8">
      <c r="A214" s="19">
        <v>1846700840</v>
      </c>
      <c r="B214" s="94" t="str">
        <f t="shared" si="7"/>
        <v>840</v>
      </c>
      <c r="C214" s="20" t="s">
        <v>360</v>
      </c>
      <c r="D214" s="20">
        <v>0</v>
      </c>
      <c r="E214" s="23">
        <f>70133+6263</f>
        <v>76396</v>
      </c>
      <c r="F214" s="23">
        <v>91675</v>
      </c>
      <c r="G214" s="23">
        <f>'[1]רווחה הכנס-הוצ'!P35</f>
        <v>87000</v>
      </c>
      <c r="H214" s="25"/>
    </row>
    <row r="215" spans="1:8">
      <c r="A215" s="19">
        <v>1846710840</v>
      </c>
      <c r="B215" s="94" t="str">
        <f t="shared" si="7"/>
        <v>840</v>
      </c>
      <c r="C215" s="20" t="s">
        <v>361</v>
      </c>
      <c r="D215" s="21">
        <v>184800</v>
      </c>
      <c r="E215" s="23">
        <v>62368</v>
      </c>
      <c r="F215" s="23">
        <v>74842</v>
      </c>
      <c r="G215" s="23">
        <f>'[1]רווחה הכנס-הוצ'!P36</f>
        <v>75000</v>
      </c>
      <c r="H215" s="25"/>
    </row>
    <row r="216" spans="1:8">
      <c r="A216" s="19">
        <v>1846720840</v>
      </c>
      <c r="B216" s="94" t="str">
        <f t="shared" si="7"/>
        <v>840</v>
      </c>
      <c r="C216" s="20" t="s">
        <v>141</v>
      </c>
      <c r="D216" s="21">
        <v>24000</v>
      </c>
      <c r="E216" s="23">
        <v>0</v>
      </c>
      <c r="F216" s="23">
        <v>0</v>
      </c>
      <c r="G216" s="23">
        <f>'[1]רווחה הכנס-הוצ'!P37</f>
        <v>5000</v>
      </c>
      <c r="H216" s="25"/>
    </row>
    <row r="217" spans="1:8">
      <c r="A217" s="19">
        <v>1846800840</v>
      </c>
      <c r="B217" s="94" t="str">
        <f t="shared" si="7"/>
        <v>840</v>
      </c>
      <c r="C217" s="20" t="s">
        <v>140</v>
      </c>
      <c r="D217" s="21">
        <v>70000</v>
      </c>
      <c r="E217" s="23">
        <f>52373+2340</f>
        <v>54713</v>
      </c>
      <c r="F217" s="23">
        <v>65656</v>
      </c>
      <c r="G217" s="23">
        <f>'[1]רווחה הכנס-הוצ'!P38</f>
        <v>65656</v>
      </c>
      <c r="H217" s="25"/>
    </row>
    <row r="218" spans="1:8">
      <c r="A218" s="19">
        <v>1847100840</v>
      </c>
      <c r="B218" s="94" t="str">
        <f t="shared" si="7"/>
        <v>840</v>
      </c>
      <c r="C218" s="20" t="s">
        <v>362</v>
      </c>
      <c r="D218" s="20">
        <v>0</v>
      </c>
      <c r="E218" s="23">
        <v>6614</v>
      </c>
      <c r="F218" s="23">
        <v>7937</v>
      </c>
      <c r="G218" s="23">
        <f>'[1]רווחה הכנס-הוצ'!P39</f>
        <v>7937</v>
      </c>
      <c r="H218" s="25"/>
    </row>
    <row r="219" spans="1:8">
      <c r="A219" s="19">
        <v>1848000840</v>
      </c>
      <c r="B219" s="94" t="str">
        <f t="shared" si="7"/>
        <v>840</v>
      </c>
      <c r="C219" s="20" t="s">
        <v>143</v>
      </c>
      <c r="D219" s="20">
        <v>0</v>
      </c>
      <c r="E219" s="23"/>
      <c r="F219" s="23">
        <v>0</v>
      </c>
      <c r="G219" s="23">
        <f>'[1]רווחה הכנס-הוצ'!P40</f>
        <v>182000</v>
      </c>
      <c r="H219" s="25"/>
    </row>
    <row r="220" spans="1:8">
      <c r="A220" s="19">
        <v>1848100840</v>
      </c>
      <c r="B220" s="94" t="str">
        <f t="shared" si="7"/>
        <v>840</v>
      </c>
      <c r="C220" s="20" t="s">
        <v>144</v>
      </c>
      <c r="D220" s="20">
        <v>0</v>
      </c>
      <c r="E220" s="23"/>
      <c r="F220" s="23">
        <v>0</v>
      </c>
      <c r="G220" s="23">
        <f>'[1]רווחה הכנס-הוצ'!P41</f>
        <v>248500</v>
      </c>
      <c r="H220" s="25"/>
    </row>
    <row r="221" spans="1:8">
      <c r="A221" s="19">
        <v>1855000110</v>
      </c>
      <c r="B221" s="94" t="str">
        <f t="shared" si="7"/>
        <v>110</v>
      </c>
      <c r="C221" s="20" t="s">
        <v>363</v>
      </c>
      <c r="D221" s="21">
        <v>67691</v>
      </c>
      <c r="E221" s="22">
        <v>57870.400000000001</v>
      </c>
      <c r="F221" s="23">
        <f>[1]שכר!G48</f>
        <v>68090</v>
      </c>
      <c r="G221" s="21">
        <f>[1]שכר!J48</f>
        <v>70000</v>
      </c>
      <c r="H221" s="37">
        <f>[1]שכר!K48/100</f>
        <v>0.5</v>
      </c>
    </row>
    <row r="222" spans="1:8">
      <c r="A222" s="19">
        <v>1855000430</v>
      </c>
      <c r="B222" s="94" t="str">
        <f t="shared" si="7"/>
        <v>430</v>
      </c>
      <c r="C222" s="20" t="s">
        <v>364</v>
      </c>
      <c r="D222" s="21">
        <v>11900</v>
      </c>
      <c r="E222" s="23">
        <v>20100.23</v>
      </c>
      <c r="F222" s="23">
        <v>23000</v>
      </c>
      <c r="G222" s="23">
        <v>25000</v>
      </c>
      <c r="H222" s="25"/>
    </row>
    <row r="223" spans="1:8">
      <c r="A223" s="19">
        <v>1855000750</v>
      </c>
      <c r="B223" s="94" t="str">
        <f t="shared" si="7"/>
        <v>750</v>
      </c>
      <c r="C223" s="20" t="s">
        <v>365</v>
      </c>
      <c r="D223" s="21">
        <v>10000</v>
      </c>
      <c r="E223" s="23">
        <v>7787</v>
      </c>
      <c r="F223" s="23">
        <v>8000</v>
      </c>
      <c r="G223" s="23">
        <v>10000</v>
      </c>
      <c r="H223" s="25"/>
    </row>
    <row r="224" spans="1:8">
      <c r="A224" s="19">
        <v>1870000830</v>
      </c>
      <c r="B224" s="94" t="str">
        <f t="shared" si="7"/>
        <v>830</v>
      </c>
      <c r="C224" s="20" t="s">
        <v>366</v>
      </c>
      <c r="D224" s="21">
        <v>18100</v>
      </c>
      <c r="E224" s="23">
        <v>18024</v>
      </c>
      <c r="F224" s="23">
        <v>18024</v>
      </c>
      <c r="G224" s="23">
        <v>20000</v>
      </c>
      <c r="H224" s="25"/>
    </row>
    <row r="225" spans="1:8">
      <c r="A225" s="19">
        <v>1991000930</v>
      </c>
      <c r="B225" s="94" t="str">
        <f t="shared" si="7"/>
        <v>930</v>
      </c>
      <c r="C225" s="20" t="s">
        <v>368</v>
      </c>
      <c r="D225" s="20">
        <v>0</v>
      </c>
      <c r="E225" s="23">
        <v>69600</v>
      </c>
      <c r="F225" s="23">
        <v>69600</v>
      </c>
      <c r="G225" s="23">
        <v>69600</v>
      </c>
      <c r="H225" s="25"/>
    </row>
    <row r="226" spans="1:8">
      <c r="A226" s="19">
        <v>1993000980</v>
      </c>
      <c r="B226" s="94" t="str">
        <f t="shared" si="7"/>
        <v>980</v>
      </c>
      <c r="C226" s="20" t="s">
        <v>369</v>
      </c>
      <c r="D226" s="20">
        <v>0</v>
      </c>
      <c r="E226" s="23">
        <v>34399.53</v>
      </c>
      <c r="F226" s="23">
        <v>40000</v>
      </c>
      <c r="G226" s="23">
        <v>0</v>
      </c>
      <c r="H226" s="25"/>
    </row>
    <row r="227" spans="1:8">
      <c r="A227" s="19">
        <v>1993100980</v>
      </c>
      <c r="B227" s="94" t="str">
        <f t="shared" si="7"/>
        <v>980</v>
      </c>
      <c r="C227" s="20" t="s">
        <v>370</v>
      </c>
      <c r="D227" s="20">
        <v>0</v>
      </c>
      <c r="E227" s="23">
        <v>43372</v>
      </c>
      <c r="F227" s="23">
        <v>44000</v>
      </c>
      <c r="G227" s="23">
        <v>60000</v>
      </c>
      <c r="H227" s="25"/>
    </row>
    <row r="228" spans="1:8">
      <c r="A228" s="19">
        <v>1995000860</v>
      </c>
      <c r="B228" s="94" t="str">
        <f t="shared" si="7"/>
        <v>860</v>
      </c>
      <c r="C228" s="20" t="s">
        <v>371</v>
      </c>
      <c r="D228" s="21">
        <v>2000000</v>
      </c>
      <c r="E228" s="23">
        <v>1823966.9</v>
      </c>
      <c r="F228" s="23">
        <v>2000000</v>
      </c>
      <c r="G228" s="23">
        <v>2200000</v>
      </c>
      <c r="H228" s="25"/>
    </row>
    <row r="229" spans="1:8">
      <c r="A229" s="19">
        <v>1999000310</v>
      </c>
      <c r="B229" s="94" t="str">
        <f t="shared" si="7"/>
        <v>310</v>
      </c>
      <c r="C229" s="20" t="s">
        <v>372</v>
      </c>
      <c r="D229" s="21">
        <v>2794998</v>
      </c>
      <c r="E229" s="22">
        <v>2603941.33</v>
      </c>
      <c r="F229" s="23">
        <f>[1]שכר!G49</f>
        <v>3086585.33</v>
      </c>
      <c r="G229" s="21">
        <f>[1]שכר!J49</f>
        <v>2958000</v>
      </c>
      <c r="H229" s="37">
        <f>[1]שכר!K49/100</f>
        <v>15.96</v>
      </c>
    </row>
    <row r="230" spans="1:8">
      <c r="A230" s="19">
        <v>1999000991</v>
      </c>
      <c r="B230" s="94" t="str">
        <f t="shared" si="7"/>
        <v>991</v>
      </c>
      <c r="C230" s="20" t="s">
        <v>61</v>
      </c>
      <c r="D230" s="21">
        <v>0</v>
      </c>
      <c r="E230" s="23">
        <v>0</v>
      </c>
      <c r="F230" s="23"/>
      <c r="G230" s="23">
        <f>D230-E230</f>
        <v>0</v>
      </c>
      <c r="H230" s="25"/>
    </row>
    <row r="231" spans="1:8">
      <c r="A231" s="19"/>
      <c r="B231" s="94"/>
      <c r="C231" s="20"/>
      <c r="D231" s="20"/>
      <c r="E231" s="23"/>
      <c r="F231" s="23"/>
      <c r="G231" s="23"/>
      <c r="H231" s="25"/>
    </row>
    <row r="232" spans="1:8" ht="15" thickBot="1">
      <c r="A232" s="27"/>
      <c r="B232" s="95"/>
      <c r="C232" s="28"/>
      <c r="D232" s="29">
        <f>SUM(D2:D231)</f>
        <v>43109901</v>
      </c>
      <c r="E232" s="30">
        <f>SUM(E2:E231)</f>
        <v>36261346.099999994</v>
      </c>
      <c r="F232" s="30">
        <f>SUM(F2:F231)</f>
        <v>42937861.208666667</v>
      </c>
      <c r="G232" s="30">
        <f>SUM(G2:G231)</f>
        <v>47042463</v>
      </c>
      <c r="H232" s="31">
        <f>SUBTOTAL(9,H2:H229)</f>
        <v>147.17000000000004</v>
      </c>
    </row>
    <row r="233" spans="1:8">
      <c r="E233" s="33"/>
      <c r="F233" s="33"/>
      <c r="G233" s="33"/>
    </row>
    <row r="234" spans="1:8" ht="15" thickBot="1">
      <c r="E234" s="33"/>
      <c r="F234" s="33"/>
      <c r="G234" s="33"/>
    </row>
    <row r="235" spans="1:8" ht="29.25">
      <c r="A235" s="14"/>
      <c r="B235" s="93"/>
      <c r="C235" s="15" t="s">
        <v>0</v>
      </c>
      <c r="D235" s="16" t="s">
        <v>1</v>
      </c>
      <c r="E235" s="34" t="s">
        <v>2</v>
      </c>
      <c r="F235" s="34" t="s">
        <v>3</v>
      </c>
      <c r="G235" s="34" t="s">
        <v>4</v>
      </c>
      <c r="H235" s="18" t="s">
        <v>22</v>
      </c>
    </row>
    <row r="236" spans="1:8">
      <c r="A236" s="19"/>
      <c r="B236" s="94"/>
      <c r="C236" s="20" t="s">
        <v>23</v>
      </c>
      <c r="D236" s="23">
        <f>D2+D15+D18+D20+D25+D30+D33+D34+D37+D38+D47+D56+D57+D62+D72+D79+D91+D99+D101+D103+D160+D166+D167+D172+D177+D178+D221+D229</f>
        <v>8612191</v>
      </c>
      <c r="E236" s="23">
        <f>E2+E15+E18+E20+E25+E30+E33+E34+E37+E38+E47+E56+E57+E62+E72+E79+E91+E99+E101+E103+E160+E166+E167+E172+E177+E178+E221+E229</f>
        <v>7431131.7400000012</v>
      </c>
      <c r="F236" s="23">
        <f>F2+F15+F18+F20+F25+F30+F33+F34+F37+F38+F47+F56+F57+F62+F72+F79+F91+F99+F101+F103+F160+F166+F167+F172+F177+F178+F221+F229</f>
        <v>8725333.6499999985</v>
      </c>
      <c r="G236" s="23">
        <f>G2+G15+G18+G20+G25+G30+G33+G34+G37+G38+G47+G56+G57+G62+G72+G79+G91+G99+G101+G103+G160+G166+G167+G172+G177+G178+G221+G229</f>
        <v>9536000</v>
      </c>
      <c r="H236" s="92">
        <f>H2+H15+H18+H20+H25+H30+H33+H34+H37+H38+H47+H56+H57+H62+H72+H79+H91+H99+H101+H103+H160+H166+H167+H172+H177+H178+H221+H229</f>
        <v>47.36</v>
      </c>
    </row>
    <row r="237" spans="1:8">
      <c r="A237" s="19"/>
      <c r="B237" s="94"/>
      <c r="C237" s="20" t="s">
        <v>24</v>
      </c>
      <c r="D237" s="23">
        <f>D3+D4+D5+D6+D7+D8+D9+D10+D11+D12+D13+D14+D16+D17+D19+D21+D22+D23+D24+D26+D27+D28+D29+D31+D32+D35+D36+D39+D40+D41+D48+D49+D50+D51+D52+D53+D54+D55+D58+D59+D60+D61+D63+D64+D65+D66+D67+D68+D69+D70+D71+D73+D74+D75+D76+D77+D78+D80+D81+D82+D83+D84+D85+D86+D87+D88+D89+D90+D92+D93+D94+D95+D96+D97+D98+D100+D102+D161+D162+D163+D164+D165+D168+D169+D170+D171+D173+D174+D175+D176+D179+D180+D222+D223+D224</f>
        <v>5786713</v>
      </c>
      <c r="E237" s="23">
        <f>E3+E4+E5+E6+E7+E8+E9+E10+E11+E12+E13+E14+E16+E17+E19+E21+E22+E23+E24+E26+E27+E28+E29+E31+E32+E35+E36+E39+E40+E41+E48+E49+E50+E51+E52+E53+E54+E55+E58+E59+E60+E61+E63+E64+E65+E66+E67+E68+E69+E70+E71+E73+E74+E75+E76+E77+E78+E80+E81+E82+E83+E84+E85+E86+E87+E88+E89+E90+E92+E93+E94+E95+E96+E97+E98+E100+E102+E161+E162+E163+E164+E165+E168+E169+E170+E171+E173+E174+E175+E176+E179+E180+E222+E223+E224</f>
        <v>4126136.6199999992</v>
      </c>
      <c r="F237" s="23">
        <f>F3+F4+F5+F6+F7+F8+F9+F10+F11+F12+F13+F14+F16+F17+F19+F21+F22+F23+F24+F26+F27+F28+F29+F31+F32+F35+F36+F39+F40+F41+F48+F49+F50+F51+F52+F53+F54+F55+F58+F59+F60+F61+F63+F64+F65+F66+F67+F68+F69+F70+F71+F73+F74+F75+F76+F77+F78+F80+F81+F82+F83+F84+F85+F86+F87+F88+F89+F90+F92+F93+F94+F95+F96+F97+F98+F100+F102+F161+F162+F163+F164+F165+F168+F169+F170+F171+F173+F174+F175+F176+F179+F180+F222+F223+F224</f>
        <v>5169500.0613333322</v>
      </c>
      <c r="G237" s="23">
        <f>G3+G4+G5+G6+G7+G8+G9+G10+G11+G12+G13+G14+G16+G17+G19+G21+G22+G23+G24+G26+G27+G28+G29+G31+G32+G35+G36+G39+G40+G41+G48+G49+G50+G51+G52+G53+G54+G55+G58+G59+G60+G61+G63+G64+G65+G66+G67+G68+G69+G70+G71+G73+G74+G75+G76+G77+G78+G80+G81+G82+G83+G84+G85+G86+G87+G88+G89+G90+G92+G93+G94+G95+G96+G97+G98+G100+G102+G161+G162+G163+G164+G165+G168+G169+G170+G171+G173+G174+G175+G176+G179+G180+G222+G223+G224</f>
        <v>6297200</v>
      </c>
      <c r="H237" s="92"/>
    </row>
    <row r="238" spans="1:8">
      <c r="A238" s="19"/>
      <c r="B238" s="94"/>
      <c r="C238" s="20" t="s">
        <v>25</v>
      </c>
      <c r="D238" s="23"/>
      <c r="E238" s="23"/>
      <c r="F238" s="23"/>
      <c r="G238" s="23"/>
      <c r="H238" s="92"/>
    </row>
    <row r="239" spans="1:8">
      <c r="A239" s="19"/>
      <c r="B239" s="94"/>
      <c r="C239" s="20" t="s">
        <v>26</v>
      </c>
      <c r="D239" s="23">
        <f t="shared" ref="D239:G239" si="8">SUBTOTAL(9,D236:D238)</f>
        <v>14398904</v>
      </c>
      <c r="E239" s="23">
        <f t="shared" si="8"/>
        <v>11557268.359999999</v>
      </c>
      <c r="F239" s="23">
        <f t="shared" si="8"/>
        <v>13894833.711333331</v>
      </c>
      <c r="G239" s="23">
        <f t="shared" si="8"/>
        <v>15833200</v>
      </c>
      <c r="H239" s="92">
        <f t="shared" ref="H239" si="9">SUBTOTAL(9,H236:H238)</f>
        <v>47.36</v>
      </c>
    </row>
    <row r="240" spans="1:8">
      <c r="A240" s="19"/>
      <c r="B240" s="94"/>
      <c r="C240" s="20"/>
      <c r="D240" s="23"/>
      <c r="E240" s="23"/>
      <c r="F240" s="23"/>
      <c r="G240" s="23"/>
      <c r="H240" s="92"/>
    </row>
    <row r="241" spans="1:8">
      <c r="A241" s="19"/>
      <c r="B241" s="94"/>
      <c r="C241" s="20" t="s">
        <v>27</v>
      </c>
      <c r="D241" s="23">
        <f>D108+D113+D117+D120+D126+D130+D131+D136+D137+D138+D143+D146+D149+D151+D152+D157</f>
        <v>14776428</v>
      </c>
      <c r="E241" s="23">
        <f>E108+E113+E117+E120+E126+E130+E131+E136+E137+E138+E143+E146+E149+E151+E152+E157</f>
        <v>12977559.840000002</v>
      </c>
      <c r="F241" s="23">
        <f>F108+F113+F117+F120+F126+F130+F131+F136+F137+F138+F143+F146+F149+F151+F152+F157</f>
        <v>14845841.290000001</v>
      </c>
      <c r="G241" s="23">
        <f>G108+G113+G117+G120+G126+G130+G131+G136+G137+G138+G143+G146+G149+G151+G152+G157</f>
        <v>15209000</v>
      </c>
      <c r="H241" s="92">
        <f>H108+H113+H117+H120+H126+H130+H131+H136+H137+H138+H143+H146+H149+H151+H152+H157</f>
        <v>91.340000000000018</v>
      </c>
    </row>
    <row r="242" spans="1:8">
      <c r="A242" s="19"/>
      <c r="B242" s="94"/>
      <c r="C242" s="20" t="s">
        <v>28</v>
      </c>
      <c r="D242" s="23">
        <f>D104+D105+D106+D107+D109+D110+D111+D112+D114+D115+D116+D118+D119+D121+D122+D123+D124+D125+D127+D128+D129+D132+D133+D134+D135+D139+D140+D141+D142+D144+D145+D147+D148+D150+D153+D154+D155+D156+D158+D159</f>
        <v>4721290</v>
      </c>
      <c r="E242" s="23">
        <f>E104+E105+E106+E107+E109+E110+E111+E112+E114+E115+E116+E118+E119+E121+E122+E123+E124+E125+E127+E128+E129+E132+E133+E134+E135+E139+E140+E141+E142+E144+E145+E147+E148+E150+E153+E154+E155+E156+E158+E159</f>
        <v>4181951.5100000007</v>
      </c>
      <c r="F242" s="23">
        <f>F104+F105+F106+F107+F109+F110+F111+F112+F114+F115+F116+F118+F119+F121+F122+F123+F124+F125+F127+F128+F129+F132+F133+F134+F135+F139+F140+F141+F142+F144+F145+F147+F148+F150+F153+F154+F155+F156+F158+F159</f>
        <v>5225608.950666667</v>
      </c>
      <c r="G242" s="23">
        <f>G104+G105+G106+G107+G109+G110+G111+G112+G114+G115+G116+G118+G119+G121+G122+G123+G124+G125+G127+G128+G129+G132+G133+G134+G135+G139+G140+G141+G142+G144+G145+G147+G148+G150+G153+G154+G155+G156+G158+G159</f>
        <v>5345578</v>
      </c>
      <c r="H242" s="92"/>
    </row>
    <row r="243" spans="1:8">
      <c r="A243" s="19"/>
      <c r="B243" s="94"/>
      <c r="C243" s="20" t="s">
        <v>29</v>
      </c>
      <c r="D243" s="23">
        <f t="shared" ref="D243:G243" si="10">SUBTOTAL(9,D241:D242)</f>
        <v>19497718</v>
      </c>
      <c r="E243" s="23">
        <f t="shared" si="10"/>
        <v>17159511.350000001</v>
      </c>
      <c r="F243" s="23">
        <f t="shared" si="10"/>
        <v>20071450.240666669</v>
      </c>
      <c r="G243" s="23">
        <f t="shared" si="10"/>
        <v>20554578</v>
      </c>
      <c r="H243" s="92">
        <f t="shared" ref="H243" si="11">SUBTOTAL(9,H241:H242)</f>
        <v>91.340000000000018</v>
      </c>
    </row>
    <row r="244" spans="1:8">
      <c r="A244" s="19"/>
      <c r="B244" s="94"/>
      <c r="C244" s="20" t="s">
        <v>30</v>
      </c>
      <c r="D244" s="23">
        <f>D181+D187+D192+D200</f>
        <v>1187700</v>
      </c>
      <c r="E244" s="23">
        <f>E181+E187+E192+E200</f>
        <v>934869.32</v>
      </c>
      <c r="F244" s="23">
        <f>F181+F187+F192+F200</f>
        <v>1106845.24</v>
      </c>
      <c r="G244" s="23">
        <f>G181+G187+G192+G200</f>
        <v>1384000</v>
      </c>
      <c r="H244" s="92">
        <f>H181+H187+H192+H200</f>
        <v>8.4699999999999989</v>
      </c>
    </row>
    <row r="245" spans="1:8">
      <c r="A245" s="19"/>
      <c r="B245" s="94"/>
      <c r="C245" s="20" t="s">
        <v>31</v>
      </c>
      <c r="D245" s="23">
        <f t="shared" ref="D245:G245" si="12">D182+D183+D184+D185+D186+D188+D189+D190+D191+D193+D194+D195+D196+D197+D198+D199+D201+D202+D203+D204+D205+D206+D207+D208+D209+D210+D211+D212+D213+D214+D215+D216+D217+D218+D219+D220</f>
        <v>4195800</v>
      </c>
      <c r="E245" s="23">
        <f t="shared" si="12"/>
        <v>3466955.83</v>
      </c>
      <c r="F245" s="23">
        <f t="shared" si="12"/>
        <v>4283749.8266666662</v>
      </c>
      <c r="G245" s="23">
        <f t="shared" si="12"/>
        <v>5165085</v>
      </c>
      <c r="H245" s="92"/>
    </row>
    <row r="246" spans="1:8">
      <c r="A246" s="19"/>
      <c r="B246" s="94"/>
      <c r="C246" s="20" t="s">
        <v>32</v>
      </c>
      <c r="D246" s="23">
        <f t="shared" ref="D246:G246" si="13">SUBTOTAL(9,D244:D245)</f>
        <v>5383500</v>
      </c>
      <c r="E246" s="23">
        <f t="shared" si="13"/>
        <v>4401825.1500000004</v>
      </c>
      <c r="F246" s="23">
        <f t="shared" si="13"/>
        <v>5390595.0666666664</v>
      </c>
      <c r="G246" s="23">
        <f t="shared" si="13"/>
        <v>6549085</v>
      </c>
      <c r="H246" s="92">
        <f t="shared" ref="H246" si="14">SUBTOTAL(9,H244:H245)</f>
        <v>8.4699999999999989</v>
      </c>
    </row>
    <row r="247" spans="1:8">
      <c r="A247" s="19"/>
      <c r="B247" s="94"/>
      <c r="C247" s="20"/>
      <c r="D247" s="23"/>
      <c r="E247" s="23"/>
      <c r="F247" s="23"/>
      <c r="G247" s="23"/>
      <c r="H247" s="92"/>
    </row>
    <row r="248" spans="1:8" ht="42.75">
      <c r="A248" s="19"/>
      <c r="B248" s="94"/>
      <c r="C248" s="35" t="s">
        <v>33</v>
      </c>
      <c r="D248" s="23">
        <f t="shared" ref="D248:G248" si="15">D239+D243+D246</f>
        <v>39280122</v>
      </c>
      <c r="E248" s="23">
        <f t="shared" si="15"/>
        <v>33118604.859999999</v>
      </c>
      <c r="F248" s="23">
        <f t="shared" si="15"/>
        <v>39356879.01866667</v>
      </c>
      <c r="G248" s="23">
        <f t="shared" si="15"/>
        <v>42936863</v>
      </c>
      <c r="H248" s="92">
        <f t="shared" ref="H248" si="16">H239+H243+H246</f>
        <v>147.17000000000002</v>
      </c>
    </row>
    <row r="249" spans="1:8">
      <c r="A249" s="19"/>
      <c r="B249" s="94"/>
      <c r="C249" s="20" t="s">
        <v>34</v>
      </c>
      <c r="D249" s="23"/>
      <c r="E249" s="23"/>
      <c r="F249" s="23"/>
      <c r="G249" s="23"/>
      <c r="H249" s="92"/>
    </row>
    <row r="250" spans="1:8">
      <c r="A250" s="19"/>
      <c r="B250" s="94"/>
      <c r="C250" s="20" t="s">
        <v>35</v>
      </c>
      <c r="D250" s="23">
        <f t="shared" ref="D250:G250" si="17">D44+D45+D46</f>
        <v>1670000</v>
      </c>
      <c r="E250" s="23">
        <f t="shared" si="17"/>
        <v>1018474.19</v>
      </c>
      <c r="F250" s="23">
        <f t="shared" si="17"/>
        <v>1243808.19</v>
      </c>
      <c r="G250" s="23">
        <f t="shared" si="17"/>
        <v>1646000</v>
      </c>
      <c r="H250" s="92"/>
    </row>
    <row r="251" spans="1:8">
      <c r="A251" s="19"/>
      <c r="B251" s="94"/>
      <c r="C251" s="20" t="s">
        <v>36</v>
      </c>
      <c r="D251" s="23">
        <f t="shared" ref="D251:G251" si="18">SUBTOTAL(9,D249:D250)</f>
        <v>1670000</v>
      </c>
      <c r="E251" s="23">
        <f t="shared" si="18"/>
        <v>1018474.19</v>
      </c>
      <c r="F251" s="23">
        <f t="shared" si="18"/>
        <v>1243808.19</v>
      </c>
      <c r="G251" s="23">
        <f t="shared" si="18"/>
        <v>1646000</v>
      </c>
      <c r="H251" s="92"/>
    </row>
    <row r="252" spans="1:8">
      <c r="A252" s="19"/>
      <c r="B252" s="94"/>
      <c r="C252" s="20"/>
      <c r="D252" s="23"/>
      <c r="E252" s="23"/>
      <c r="F252" s="23"/>
      <c r="G252" s="23"/>
      <c r="H252" s="92"/>
    </row>
    <row r="253" spans="1:8">
      <c r="A253" s="19"/>
      <c r="B253" s="94"/>
      <c r="C253" s="20" t="s">
        <v>37</v>
      </c>
      <c r="D253" s="23">
        <f t="shared" ref="D253:G253" si="19">D42+D43</f>
        <v>159779</v>
      </c>
      <c r="E253" s="23">
        <f t="shared" si="19"/>
        <v>152928.62</v>
      </c>
      <c r="F253" s="23">
        <f t="shared" si="19"/>
        <v>183574</v>
      </c>
      <c r="G253" s="23">
        <f t="shared" si="19"/>
        <v>130000</v>
      </c>
      <c r="H253" s="92"/>
    </row>
    <row r="254" spans="1:8">
      <c r="A254" s="19"/>
      <c r="B254" s="94"/>
      <c r="C254" s="20" t="s">
        <v>38</v>
      </c>
      <c r="D254" s="23">
        <f t="shared" ref="D254:G254" si="20">D225+D226+D227+D230</f>
        <v>0</v>
      </c>
      <c r="E254" s="23">
        <f t="shared" si="20"/>
        <v>147371.53</v>
      </c>
      <c r="F254" s="23">
        <f t="shared" si="20"/>
        <v>153600</v>
      </c>
      <c r="G254" s="23">
        <f t="shared" si="20"/>
        <v>129600</v>
      </c>
      <c r="H254" s="92"/>
    </row>
    <row r="255" spans="1:8" ht="28.5">
      <c r="A255" s="19"/>
      <c r="B255" s="94"/>
      <c r="C255" s="35" t="s">
        <v>39</v>
      </c>
      <c r="D255" s="23">
        <f t="shared" ref="D255:G255" si="21">D248+D251+D253+D254</f>
        <v>41109901</v>
      </c>
      <c r="E255" s="23">
        <f t="shared" si="21"/>
        <v>34437379.199999996</v>
      </c>
      <c r="F255" s="23">
        <f t="shared" si="21"/>
        <v>40937861.208666667</v>
      </c>
      <c r="G255" s="23">
        <f t="shared" si="21"/>
        <v>44842463</v>
      </c>
      <c r="H255" s="92">
        <f t="shared" ref="H255" si="22">H248+H251+H253+H254</f>
        <v>147.17000000000002</v>
      </c>
    </row>
    <row r="256" spans="1:8">
      <c r="A256" s="19"/>
      <c r="B256" s="94"/>
      <c r="C256" s="20"/>
      <c r="D256" s="23"/>
      <c r="E256" s="23"/>
      <c r="F256" s="23"/>
      <c r="G256" s="23"/>
      <c r="H256" s="92"/>
    </row>
    <row r="257" spans="1:8">
      <c r="A257" s="19"/>
      <c r="B257" s="94"/>
      <c r="C257" s="20" t="s">
        <v>40</v>
      </c>
      <c r="D257" s="23"/>
      <c r="E257" s="23"/>
      <c r="F257" s="23"/>
      <c r="G257" s="23"/>
      <c r="H257" s="92"/>
    </row>
    <row r="258" spans="1:8">
      <c r="A258" s="19"/>
      <c r="B258" s="94"/>
      <c r="C258" s="20" t="s">
        <v>41</v>
      </c>
      <c r="D258" s="23">
        <f t="shared" ref="D258:G258" si="23">D228</f>
        <v>2000000</v>
      </c>
      <c r="E258" s="23">
        <f t="shared" si="23"/>
        <v>1823966.9</v>
      </c>
      <c r="F258" s="23">
        <f t="shared" si="23"/>
        <v>2000000</v>
      </c>
      <c r="G258" s="23">
        <f t="shared" si="23"/>
        <v>2200000</v>
      </c>
      <c r="H258" s="92"/>
    </row>
    <row r="259" spans="1:8" ht="15">
      <c r="A259" s="19"/>
      <c r="B259" s="94"/>
      <c r="C259" s="36" t="s">
        <v>42</v>
      </c>
      <c r="D259" s="23">
        <f>D255+D258</f>
        <v>43109901</v>
      </c>
      <c r="E259" s="23">
        <f>E255+E258</f>
        <v>36261346.099999994</v>
      </c>
      <c r="F259" s="23">
        <f>F255+F258</f>
        <v>42937861.208666667</v>
      </c>
      <c r="G259" s="23">
        <f>G255+G258</f>
        <v>47042463</v>
      </c>
      <c r="H259" s="92">
        <f>H255+H258</f>
        <v>147.17000000000002</v>
      </c>
    </row>
    <row r="260" spans="1:8" ht="15" thickBot="1">
      <c r="A260" s="27"/>
      <c r="B260" s="95"/>
      <c r="C260" s="28"/>
      <c r="D260" s="28"/>
      <c r="E260" s="28"/>
      <c r="F260" s="30"/>
      <c r="G260" s="28"/>
      <c r="H260" s="31"/>
    </row>
    <row r="262" spans="1:8" ht="15" thickBot="1"/>
    <row r="263" spans="1:8" ht="28.5">
      <c r="A263" s="8"/>
      <c r="B263" s="96"/>
      <c r="C263" s="1" t="s">
        <v>0</v>
      </c>
      <c r="D263" s="2" t="s">
        <v>1</v>
      </c>
      <c r="E263" s="2" t="s">
        <v>2</v>
      </c>
      <c r="F263" s="2" t="s">
        <v>3</v>
      </c>
      <c r="G263" s="2" t="s">
        <v>4</v>
      </c>
    </row>
    <row r="264" spans="1:8">
      <c r="A264" s="9"/>
      <c r="B264" s="97"/>
      <c r="C264" s="3" t="s">
        <v>5</v>
      </c>
      <c r="D264" s="4">
        <f>הכנסות!C122</f>
        <v>-5700000</v>
      </c>
      <c r="E264" s="4">
        <f>הכנסות!D122</f>
        <v>-4563820.2</v>
      </c>
      <c r="F264" s="4">
        <f>הכנסות!E122</f>
        <v>-5326104</v>
      </c>
      <c r="G264" s="4">
        <f>הכנסות!F122</f>
        <v>-5750000</v>
      </c>
    </row>
    <row r="265" spans="1:8">
      <c r="A265" s="9"/>
      <c r="B265" s="97"/>
      <c r="C265" s="3" t="s">
        <v>6</v>
      </c>
      <c r="D265" s="4">
        <f>הכנסות!C123</f>
        <v>-50000</v>
      </c>
      <c r="E265" s="4">
        <f>הכנסות!D123</f>
        <v>-11605</v>
      </c>
      <c r="F265" s="4">
        <f>הכנסות!E123</f>
        <v>-11605</v>
      </c>
      <c r="G265" s="4">
        <f>הכנסות!F123</f>
        <v>-11605</v>
      </c>
    </row>
    <row r="266" spans="1:8">
      <c r="A266" s="9"/>
      <c r="B266" s="97"/>
      <c r="C266" s="3" t="s">
        <v>7</v>
      </c>
      <c r="D266" s="4">
        <f>הכנסות!C124</f>
        <v>-302500</v>
      </c>
      <c r="E266" s="4">
        <f>הכנסות!D124</f>
        <v>-203772.75</v>
      </c>
      <c r="F266" s="4">
        <f>הכנסות!E124</f>
        <v>-244527.3</v>
      </c>
      <c r="G266" s="4">
        <f>הכנסות!F124</f>
        <v>-257264.9</v>
      </c>
    </row>
    <row r="267" spans="1:8">
      <c r="A267" s="9"/>
      <c r="B267" s="97"/>
      <c r="C267" s="3" t="s">
        <v>8</v>
      </c>
      <c r="D267" s="4">
        <f>הכנסות!C125</f>
        <v>-8000</v>
      </c>
      <c r="E267" s="4">
        <f>הכנסות!D125</f>
        <v>-5254</v>
      </c>
      <c r="F267" s="4">
        <f>הכנסות!E125</f>
        <v>-6305</v>
      </c>
      <c r="G267" s="4">
        <f>הכנסות!F125</f>
        <v>-7000</v>
      </c>
    </row>
    <row r="268" spans="1:8">
      <c r="A268" s="9"/>
      <c r="B268" s="97"/>
      <c r="C268" s="3" t="s">
        <v>9</v>
      </c>
      <c r="D268" s="4">
        <f>הכנסות!C126</f>
        <v>-630500</v>
      </c>
      <c r="E268" s="4">
        <f>הכנסות!D126</f>
        <v>-269627.37</v>
      </c>
      <c r="F268" s="4">
        <f>הכנסות!E126</f>
        <v>-309201.37</v>
      </c>
      <c r="G268" s="4">
        <f>הכנסות!F126</f>
        <v>-833000</v>
      </c>
    </row>
    <row r="269" spans="1:8">
      <c r="A269" s="9"/>
      <c r="B269" s="97"/>
      <c r="C269" s="3" t="s">
        <v>10</v>
      </c>
      <c r="D269" s="4">
        <f>SUBTOTAL(9,D264:D268)</f>
        <v>-6691000</v>
      </c>
      <c r="E269" s="4">
        <f t="shared" ref="E269:G269" si="24">SUBTOTAL(9,E264:E268)</f>
        <v>-5054079.32</v>
      </c>
      <c r="F269" s="4">
        <f t="shared" si="24"/>
        <v>-5897742.6699999999</v>
      </c>
      <c r="G269" s="4">
        <f t="shared" si="24"/>
        <v>-6858869.9000000004</v>
      </c>
    </row>
    <row r="270" spans="1:8">
      <c r="A270" s="9"/>
      <c r="B270" s="97"/>
      <c r="C270" s="3"/>
      <c r="D270" s="4"/>
      <c r="E270" s="4"/>
      <c r="F270" s="4"/>
      <c r="G270" s="4"/>
    </row>
    <row r="271" spans="1:8">
      <c r="A271" s="9"/>
      <c r="B271" s="97"/>
      <c r="C271" s="3" t="s">
        <v>11</v>
      </c>
      <c r="D271" s="4">
        <f>הכנסות!C129</f>
        <v>-16712466</v>
      </c>
      <c r="E271" s="4">
        <f>הכנסות!D129</f>
        <v>-14759721.640000001</v>
      </c>
      <c r="F271" s="4">
        <f>הכנסות!E129</f>
        <v>-17767342.568000004</v>
      </c>
      <c r="G271" s="4">
        <f>הכנסות!F129</f>
        <v>-18430400</v>
      </c>
    </row>
    <row r="272" spans="1:8">
      <c r="A272" s="9"/>
      <c r="B272" s="97"/>
      <c r="C272" s="3" t="s">
        <v>12</v>
      </c>
      <c r="D272" s="4">
        <f>הכנסות!C130</f>
        <v>-4006500</v>
      </c>
      <c r="E272" s="4">
        <f>הכנסות!D130</f>
        <v>-2640007</v>
      </c>
      <c r="F272" s="4">
        <f>הכנסות!E130</f>
        <v>-3618009</v>
      </c>
      <c r="G272" s="4">
        <f>הכנסות!F130</f>
        <v>-5057504.6965999994</v>
      </c>
    </row>
    <row r="273" spans="1:7">
      <c r="A273" s="9"/>
      <c r="B273" s="97"/>
      <c r="C273" s="3" t="s">
        <v>13</v>
      </c>
      <c r="D273" s="4">
        <f>הכנסות!C131</f>
        <v>-450000</v>
      </c>
      <c r="E273" s="4">
        <f>הכנסות!D131</f>
        <v>-231802.92</v>
      </c>
      <c r="F273" s="4">
        <f>הכנסות!E131</f>
        <v>-231802.92</v>
      </c>
      <c r="G273" s="4">
        <f>הכנסות!F131</f>
        <v>-592000</v>
      </c>
    </row>
    <row r="274" spans="1:7">
      <c r="A274" s="9"/>
      <c r="B274" s="97"/>
      <c r="C274" s="3" t="s">
        <v>14</v>
      </c>
      <c r="D274" s="4">
        <f>הכנסות!C132</f>
        <v>-13177027</v>
      </c>
      <c r="E274" s="4">
        <f>הכנסות!D132</f>
        <v>-10031414.689999999</v>
      </c>
      <c r="F274" s="4">
        <f>הכנסות!E132</f>
        <v>-13177027</v>
      </c>
      <c r="G274" s="4">
        <f>הכנסות!F132</f>
        <v>-13177027</v>
      </c>
    </row>
    <row r="275" spans="1:7">
      <c r="A275" s="9"/>
      <c r="B275" s="97"/>
      <c r="C275" s="3" t="s">
        <v>15</v>
      </c>
      <c r="D275" s="4">
        <f>הכנסות!C133</f>
        <v>-72908</v>
      </c>
      <c r="E275" s="4">
        <f>הכנסות!D133</f>
        <v>0</v>
      </c>
      <c r="F275" s="4">
        <f>הכנסות!E133</f>
        <v>-15000</v>
      </c>
      <c r="G275" s="4">
        <f>הכנסות!F133</f>
        <v>-128200</v>
      </c>
    </row>
    <row r="276" spans="1:7">
      <c r="A276" s="9"/>
      <c r="B276" s="97"/>
      <c r="C276" s="3" t="s">
        <v>16</v>
      </c>
      <c r="D276" s="4">
        <f>הכנסות!C134</f>
        <v>0</v>
      </c>
      <c r="E276" s="4">
        <f>הכנסות!D134</f>
        <v>-240855.96</v>
      </c>
      <c r="F276" s="4">
        <f>הכנסות!E134</f>
        <v>-298055.96000000002</v>
      </c>
      <c r="G276" s="4">
        <f>הכנסות!F134</f>
        <v>-598461</v>
      </c>
    </row>
    <row r="277" spans="1:7">
      <c r="A277" s="9"/>
      <c r="B277" s="97"/>
      <c r="C277" s="3"/>
      <c r="D277" s="4"/>
      <c r="E277" s="4"/>
      <c r="F277" s="4"/>
      <c r="G277" s="4"/>
    </row>
    <row r="278" spans="1:7" ht="28.5">
      <c r="A278" s="9"/>
      <c r="B278" s="97"/>
      <c r="C278" s="5" t="s">
        <v>17</v>
      </c>
      <c r="D278" s="4">
        <f>D269+D271+D272+D273+D274+D275+D276</f>
        <v>-41109901</v>
      </c>
      <c r="E278" s="4">
        <f t="shared" ref="E278:G278" si="25">E269+E271+E272+E273+E274+E275+E276</f>
        <v>-32957881.530000001</v>
      </c>
      <c r="F278" s="4">
        <f t="shared" si="25"/>
        <v>-41004980.118000008</v>
      </c>
      <c r="G278" s="4">
        <f t="shared" si="25"/>
        <v>-44842462.596599996</v>
      </c>
    </row>
    <row r="279" spans="1:7">
      <c r="A279" s="9"/>
      <c r="B279" s="97"/>
      <c r="C279" s="3"/>
      <c r="D279" s="4"/>
      <c r="E279" s="4"/>
      <c r="F279" s="4"/>
      <c r="G279" s="4"/>
    </row>
    <row r="280" spans="1:7">
      <c r="A280" s="9"/>
      <c r="B280" s="97"/>
      <c r="C280" s="3" t="s">
        <v>18</v>
      </c>
      <c r="D280" s="4"/>
      <c r="E280" s="4"/>
      <c r="F280" s="4"/>
      <c r="G280" s="4"/>
    </row>
    <row r="281" spans="1:7">
      <c r="A281" s="9"/>
      <c r="B281" s="97"/>
      <c r="C281" s="3" t="s">
        <v>19</v>
      </c>
      <c r="D281" s="4"/>
      <c r="E281" s="4"/>
      <c r="F281" s="4"/>
      <c r="G281" s="4"/>
    </row>
    <row r="282" spans="1:7">
      <c r="A282" s="9"/>
      <c r="B282" s="97"/>
      <c r="C282" s="3" t="s">
        <v>20</v>
      </c>
      <c r="D282" s="4">
        <f>הכנסות!C140</f>
        <v>-2000000</v>
      </c>
      <c r="E282" s="4">
        <f>הכנסות!D140</f>
        <v>-1823966.9</v>
      </c>
      <c r="F282" s="4">
        <f>הכנסות!E140</f>
        <v>-2000000</v>
      </c>
      <c r="G282" s="4">
        <f>הכנסות!F140</f>
        <v>-2200000</v>
      </c>
    </row>
    <row r="283" spans="1:7">
      <c r="A283" s="9"/>
      <c r="B283" s="97"/>
      <c r="C283" s="3" t="s">
        <v>21</v>
      </c>
      <c r="D283" s="4"/>
      <c r="E283" s="4"/>
      <c r="F283" s="4"/>
      <c r="G283" s="4"/>
    </row>
    <row r="284" spans="1:7">
      <c r="A284" s="9"/>
      <c r="B284" s="97"/>
      <c r="C284" s="3"/>
      <c r="D284" s="4"/>
      <c r="E284" s="4"/>
      <c r="F284" s="4"/>
      <c r="G284" s="4"/>
    </row>
    <row r="285" spans="1:7" ht="15.75" thickBot="1">
      <c r="A285" s="10"/>
      <c r="B285" s="98"/>
      <c r="C285" s="6" t="s">
        <v>21</v>
      </c>
      <c r="D285" s="12">
        <f>D278+D280+D281+D282</f>
        <v>-43109901</v>
      </c>
      <c r="E285" s="12">
        <f t="shared" ref="E285:G285" si="26">E278+E280+E281+E282</f>
        <v>-34781848.43</v>
      </c>
      <c r="F285" s="12">
        <f t="shared" si="26"/>
        <v>-43004980.118000008</v>
      </c>
      <c r="G285" s="12">
        <f t="shared" si="26"/>
        <v>-47042462.596599996</v>
      </c>
    </row>
  </sheetData>
  <autoFilter ref="A1:H230"/>
  <pageMargins left="0.7" right="0.7" top="0.75" bottom="0.75" header="0.3" footer="0.3"/>
  <pageSetup paperSize="9" scale="86" orientation="portrait" r:id="rId1"/>
  <rowBreaks count="1" manualBreakCount="1">
    <brk id="2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93"/>
  <sheetViews>
    <sheetView rightToLeft="1" topLeftCell="A37" zoomScaleNormal="100" zoomScaleSheetLayoutView="100" workbookViewId="0">
      <selection activeCell="G54" sqref="G54"/>
    </sheetView>
  </sheetViews>
  <sheetFormatPr defaultColWidth="9.125" defaultRowHeight="15.75"/>
  <cols>
    <col min="1" max="1" width="5.75" style="44" customWidth="1"/>
    <col min="2" max="2" width="4.375" style="44" bestFit="1" customWidth="1"/>
    <col min="3" max="3" width="17.25" style="44" customWidth="1"/>
    <col min="4" max="4" width="23.875" style="84" bestFit="1" customWidth="1"/>
    <col min="5" max="5" width="8.625" style="84" customWidth="1"/>
    <col min="6" max="6" width="11.625" style="44" customWidth="1"/>
    <col min="7" max="7" width="8.5" style="85" customWidth="1"/>
    <col min="8" max="8" width="11.25" style="84" customWidth="1"/>
    <col min="9" max="9" width="8.375" style="90" customWidth="1"/>
    <col min="10" max="10" width="11" style="84" customWidth="1"/>
    <col min="11" max="11" width="32.625" style="44" customWidth="1"/>
    <col min="12" max="12" width="8.125" style="44" bestFit="1" customWidth="1"/>
    <col min="13" max="257" width="9.125" style="44"/>
    <col min="258" max="258" width="6.25" style="44" bestFit="1" customWidth="1"/>
    <col min="259" max="259" width="38.25" style="44" bestFit="1" customWidth="1"/>
    <col min="260" max="260" width="38.25" style="44" customWidth="1"/>
    <col min="261" max="261" width="12.5" style="44" customWidth="1"/>
    <col min="262" max="262" width="16" style="44" customWidth="1"/>
    <col min="263" max="263" width="12.75" style="44" bestFit="1" customWidth="1"/>
    <col min="264" max="264" width="19.125" style="44" customWidth="1"/>
    <col min="265" max="265" width="14.875" style="44" customWidth="1"/>
    <col min="266" max="266" width="16.125" style="44" customWidth="1"/>
    <col min="267" max="267" width="26.875" style="44" customWidth="1"/>
    <col min="268" max="513" width="9.125" style="44"/>
    <col min="514" max="514" width="6.25" style="44" bestFit="1" customWidth="1"/>
    <col min="515" max="515" width="38.25" style="44" bestFit="1" customWidth="1"/>
    <col min="516" max="516" width="38.25" style="44" customWidth="1"/>
    <col min="517" max="517" width="12.5" style="44" customWidth="1"/>
    <col min="518" max="518" width="16" style="44" customWidth="1"/>
    <col min="519" max="519" width="12.75" style="44" bestFit="1" customWidth="1"/>
    <col min="520" max="520" width="19.125" style="44" customWidth="1"/>
    <col min="521" max="521" width="14.875" style="44" customWidth="1"/>
    <col min="522" max="522" width="16.125" style="44" customWidth="1"/>
    <col min="523" max="523" width="26.875" style="44" customWidth="1"/>
    <col min="524" max="769" width="9.125" style="44"/>
    <col min="770" max="770" width="6.25" style="44" bestFit="1" customWidth="1"/>
    <col min="771" max="771" width="38.25" style="44" bestFit="1" customWidth="1"/>
    <col min="772" max="772" width="38.25" style="44" customWidth="1"/>
    <col min="773" max="773" width="12.5" style="44" customWidth="1"/>
    <col min="774" max="774" width="16" style="44" customWidth="1"/>
    <col min="775" max="775" width="12.75" style="44" bestFit="1" customWidth="1"/>
    <col min="776" max="776" width="19.125" style="44" customWidth="1"/>
    <col min="777" max="777" width="14.875" style="44" customWidth="1"/>
    <col min="778" max="778" width="16.125" style="44" customWidth="1"/>
    <col min="779" max="779" width="26.875" style="44" customWidth="1"/>
    <col min="780" max="1025" width="9.125" style="44"/>
    <col min="1026" max="1026" width="6.25" style="44" bestFit="1" customWidth="1"/>
    <col min="1027" max="1027" width="38.25" style="44" bestFit="1" customWidth="1"/>
    <col min="1028" max="1028" width="38.25" style="44" customWidth="1"/>
    <col min="1029" max="1029" width="12.5" style="44" customWidth="1"/>
    <col min="1030" max="1030" width="16" style="44" customWidth="1"/>
    <col min="1031" max="1031" width="12.75" style="44" bestFit="1" customWidth="1"/>
    <col min="1032" max="1032" width="19.125" style="44" customWidth="1"/>
    <col min="1033" max="1033" width="14.875" style="44" customWidth="1"/>
    <col min="1034" max="1034" width="16.125" style="44" customWidth="1"/>
    <col min="1035" max="1035" width="26.875" style="44" customWidth="1"/>
    <col min="1036" max="1281" width="9.125" style="44"/>
    <col min="1282" max="1282" width="6.25" style="44" bestFit="1" customWidth="1"/>
    <col min="1283" max="1283" width="38.25" style="44" bestFit="1" customWidth="1"/>
    <col min="1284" max="1284" width="38.25" style="44" customWidth="1"/>
    <col min="1285" max="1285" width="12.5" style="44" customWidth="1"/>
    <col min="1286" max="1286" width="16" style="44" customWidth="1"/>
    <col min="1287" max="1287" width="12.75" style="44" bestFit="1" customWidth="1"/>
    <col min="1288" max="1288" width="19.125" style="44" customWidth="1"/>
    <col min="1289" max="1289" width="14.875" style="44" customWidth="1"/>
    <col min="1290" max="1290" width="16.125" style="44" customWidth="1"/>
    <col min="1291" max="1291" width="26.875" style="44" customWidth="1"/>
    <col min="1292" max="1537" width="9.125" style="44"/>
    <col min="1538" max="1538" width="6.25" style="44" bestFit="1" customWidth="1"/>
    <col min="1539" max="1539" width="38.25" style="44" bestFit="1" customWidth="1"/>
    <col min="1540" max="1540" width="38.25" style="44" customWidth="1"/>
    <col min="1541" max="1541" width="12.5" style="44" customWidth="1"/>
    <col min="1542" max="1542" width="16" style="44" customWidth="1"/>
    <col min="1543" max="1543" width="12.75" style="44" bestFit="1" customWidth="1"/>
    <col min="1544" max="1544" width="19.125" style="44" customWidth="1"/>
    <col min="1545" max="1545" width="14.875" style="44" customWidth="1"/>
    <col min="1546" max="1546" width="16.125" style="44" customWidth="1"/>
    <col min="1547" max="1547" width="26.875" style="44" customWidth="1"/>
    <col min="1548" max="1793" width="9.125" style="44"/>
    <col min="1794" max="1794" width="6.25" style="44" bestFit="1" customWidth="1"/>
    <col min="1795" max="1795" width="38.25" style="44" bestFit="1" customWidth="1"/>
    <col min="1796" max="1796" width="38.25" style="44" customWidth="1"/>
    <col min="1797" max="1797" width="12.5" style="44" customWidth="1"/>
    <col min="1798" max="1798" width="16" style="44" customWidth="1"/>
    <col min="1799" max="1799" width="12.75" style="44" bestFit="1" customWidth="1"/>
    <col min="1800" max="1800" width="19.125" style="44" customWidth="1"/>
    <col min="1801" max="1801" width="14.875" style="44" customWidth="1"/>
    <col min="1802" max="1802" width="16.125" style="44" customWidth="1"/>
    <col min="1803" max="1803" width="26.875" style="44" customWidth="1"/>
    <col min="1804" max="2049" width="9.125" style="44"/>
    <col min="2050" max="2050" width="6.25" style="44" bestFit="1" customWidth="1"/>
    <col min="2051" max="2051" width="38.25" style="44" bestFit="1" customWidth="1"/>
    <col min="2052" max="2052" width="38.25" style="44" customWidth="1"/>
    <col min="2053" max="2053" width="12.5" style="44" customWidth="1"/>
    <col min="2054" max="2054" width="16" style="44" customWidth="1"/>
    <col min="2055" max="2055" width="12.75" style="44" bestFit="1" customWidth="1"/>
    <col min="2056" max="2056" width="19.125" style="44" customWidth="1"/>
    <col min="2057" max="2057" width="14.875" style="44" customWidth="1"/>
    <col min="2058" max="2058" width="16.125" style="44" customWidth="1"/>
    <col min="2059" max="2059" width="26.875" style="44" customWidth="1"/>
    <col min="2060" max="2305" width="9.125" style="44"/>
    <col min="2306" max="2306" width="6.25" style="44" bestFit="1" customWidth="1"/>
    <col min="2307" max="2307" width="38.25" style="44" bestFit="1" customWidth="1"/>
    <col min="2308" max="2308" width="38.25" style="44" customWidth="1"/>
    <col min="2309" max="2309" width="12.5" style="44" customWidth="1"/>
    <col min="2310" max="2310" width="16" style="44" customWidth="1"/>
    <col min="2311" max="2311" width="12.75" style="44" bestFit="1" customWidth="1"/>
    <col min="2312" max="2312" width="19.125" style="44" customWidth="1"/>
    <col min="2313" max="2313" width="14.875" style="44" customWidth="1"/>
    <col min="2314" max="2314" width="16.125" style="44" customWidth="1"/>
    <col min="2315" max="2315" width="26.875" style="44" customWidth="1"/>
    <col min="2316" max="2561" width="9.125" style="44"/>
    <col min="2562" max="2562" width="6.25" style="44" bestFit="1" customWidth="1"/>
    <col min="2563" max="2563" width="38.25" style="44" bestFit="1" customWidth="1"/>
    <col min="2564" max="2564" width="38.25" style="44" customWidth="1"/>
    <col min="2565" max="2565" width="12.5" style="44" customWidth="1"/>
    <col min="2566" max="2566" width="16" style="44" customWidth="1"/>
    <col min="2567" max="2567" width="12.75" style="44" bestFit="1" customWidth="1"/>
    <col min="2568" max="2568" width="19.125" style="44" customWidth="1"/>
    <col min="2569" max="2569" width="14.875" style="44" customWidth="1"/>
    <col min="2570" max="2570" width="16.125" style="44" customWidth="1"/>
    <col min="2571" max="2571" width="26.875" style="44" customWidth="1"/>
    <col min="2572" max="2817" width="9.125" style="44"/>
    <col min="2818" max="2818" width="6.25" style="44" bestFit="1" customWidth="1"/>
    <col min="2819" max="2819" width="38.25" style="44" bestFit="1" customWidth="1"/>
    <col min="2820" max="2820" width="38.25" style="44" customWidth="1"/>
    <col min="2821" max="2821" width="12.5" style="44" customWidth="1"/>
    <col min="2822" max="2822" width="16" style="44" customWidth="1"/>
    <col min="2823" max="2823" width="12.75" style="44" bestFit="1" customWidth="1"/>
    <col min="2824" max="2824" width="19.125" style="44" customWidth="1"/>
    <col min="2825" max="2825" width="14.875" style="44" customWidth="1"/>
    <col min="2826" max="2826" width="16.125" style="44" customWidth="1"/>
    <col min="2827" max="2827" width="26.875" style="44" customWidth="1"/>
    <col min="2828" max="3073" width="9.125" style="44"/>
    <col min="3074" max="3074" width="6.25" style="44" bestFit="1" customWidth="1"/>
    <col min="3075" max="3075" width="38.25" style="44" bestFit="1" customWidth="1"/>
    <col min="3076" max="3076" width="38.25" style="44" customWidth="1"/>
    <col min="3077" max="3077" width="12.5" style="44" customWidth="1"/>
    <col min="3078" max="3078" width="16" style="44" customWidth="1"/>
    <col min="3079" max="3079" width="12.75" style="44" bestFit="1" customWidth="1"/>
    <col min="3080" max="3080" width="19.125" style="44" customWidth="1"/>
    <col min="3081" max="3081" width="14.875" style="44" customWidth="1"/>
    <col min="3082" max="3082" width="16.125" style="44" customWidth="1"/>
    <col min="3083" max="3083" width="26.875" style="44" customWidth="1"/>
    <col min="3084" max="3329" width="9.125" style="44"/>
    <col min="3330" max="3330" width="6.25" style="44" bestFit="1" customWidth="1"/>
    <col min="3331" max="3331" width="38.25" style="44" bestFit="1" customWidth="1"/>
    <col min="3332" max="3332" width="38.25" style="44" customWidth="1"/>
    <col min="3333" max="3333" width="12.5" style="44" customWidth="1"/>
    <col min="3334" max="3334" width="16" style="44" customWidth="1"/>
    <col min="3335" max="3335" width="12.75" style="44" bestFit="1" customWidth="1"/>
    <col min="3336" max="3336" width="19.125" style="44" customWidth="1"/>
    <col min="3337" max="3337" width="14.875" style="44" customWidth="1"/>
    <col min="3338" max="3338" width="16.125" style="44" customWidth="1"/>
    <col min="3339" max="3339" width="26.875" style="44" customWidth="1"/>
    <col min="3340" max="3585" width="9.125" style="44"/>
    <col min="3586" max="3586" width="6.25" style="44" bestFit="1" customWidth="1"/>
    <col min="3587" max="3587" width="38.25" style="44" bestFit="1" customWidth="1"/>
    <col min="3588" max="3588" width="38.25" style="44" customWidth="1"/>
    <col min="3589" max="3589" width="12.5" style="44" customWidth="1"/>
    <col min="3590" max="3590" width="16" style="44" customWidth="1"/>
    <col min="3591" max="3591" width="12.75" style="44" bestFit="1" customWidth="1"/>
    <col min="3592" max="3592" width="19.125" style="44" customWidth="1"/>
    <col min="3593" max="3593" width="14.875" style="44" customWidth="1"/>
    <col min="3594" max="3594" width="16.125" style="44" customWidth="1"/>
    <col min="3595" max="3595" width="26.875" style="44" customWidth="1"/>
    <col min="3596" max="3841" width="9.125" style="44"/>
    <col min="3842" max="3842" width="6.25" style="44" bestFit="1" customWidth="1"/>
    <col min="3843" max="3843" width="38.25" style="44" bestFit="1" customWidth="1"/>
    <col min="3844" max="3844" width="38.25" style="44" customWidth="1"/>
    <col min="3845" max="3845" width="12.5" style="44" customWidth="1"/>
    <col min="3846" max="3846" width="16" style="44" customWidth="1"/>
    <col min="3847" max="3847" width="12.75" style="44" bestFit="1" customWidth="1"/>
    <col min="3848" max="3848" width="19.125" style="44" customWidth="1"/>
    <col min="3849" max="3849" width="14.875" style="44" customWidth="1"/>
    <col min="3850" max="3850" width="16.125" style="44" customWidth="1"/>
    <col min="3851" max="3851" width="26.875" style="44" customWidth="1"/>
    <col min="3852" max="4097" width="9.125" style="44"/>
    <col min="4098" max="4098" width="6.25" style="44" bestFit="1" customWidth="1"/>
    <col min="4099" max="4099" width="38.25" style="44" bestFit="1" customWidth="1"/>
    <col min="4100" max="4100" width="38.25" style="44" customWidth="1"/>
    <col min="4101" max="4101" width="12.5" style="44" customWidth="1"/>
    <col min="4102" max="4102" width="16" style="44" customWidth="1"/>
    <col min="4103" max="4103" width="12.75" style="44" bestFit="1" customWidth="1"/>
    <col min="4104" max="4104" width="19.125" style="44" customWidth="1"/>
    <col min="4105" max="4105" width="14.875" style="44" customWidth="1"/>
    <col min="4106" max="4106" width="16.125" style="44" customWidth="1"/>
    <col min="4107" max="4107" width="26.875" style="44" customWidth="1"/>
    <col min="4108" max="4353" width="9.125" style="44"/>
    <col min="4354" max="4354" width="6.25" style="44" bestFit="1" customWidth="1"/>
    <col min="4355" max="4355" width="38.25" style="44" bestFit="1" customWidth="1"/>
    <col min="4356" max="4356" width="38.25" style="44" customWidth="1"/>
    <col min="4357" max="4357" width="12.5" style="44" customWidth="1"/>
    <col min="4358" max="4358" width="16" style="44" customWidth="1"/>
    <col min="4359" max="4359" width="12.75" style="44" bestFit="1" customWidth="1"/>
    <col min="4360" max="4360" width="19.125" style="44" customWidth="1"/>
    <col min="4361" max="4361" width="14.875" style="44" customWidth="1"/>
    <col min="4362" max="4362" width="16.125" style="44" customWidth="1"/>
    <col min="4363" max="4363" width="26.875" style="44" customWidth="1"/>
    <col min="4364" max="4609" width="9.125" style="44"/>
    <col min="4610" max="4610" width="6.25" style="44" bestFit="1" customWidth="1"/>
    <col min="4611" max="4611" width="38.25" style="44" bestFit="1" customWidth="1"/>
    <col min="4612" max="4612" width="38.25" style="44" customWidth="1"/>
    <col min="4613" max="4613" width="12.5" style="44" customWidth="1"/>
    <col min="4614" max="4614" width="16" style="44" customWidth="1"/>
    <col min="4615" max="4615" width="12.75" style="44" bestFit="1" customWidth="1"/>
    <col min="4616" max="4616" width="19.125" style="44" customWidth="1"/>
    <col min="4617" max="4617" width="14.875" style="44" customWidth="1"/>
    <col min="4618" max="4618" width="16.125" style="44" customWidth="1"/>
    <col min="4619" max="4619" width="26.875" style="44" customWidth="1"/>
    <col min="4620" max="4865" width="9.125" style="44"/>
    <col min="4866" max="4866" width="6.25" style="44" bestFit="1" customWidth="1"/>
    <col min="4867" max="4867" width="38.25" style="44" bestFit="1" customWidth="1"/>
    <col min="4868" max="4868" width="38.25" style="44" customWidth="1"/>
    <col min="4869" max="4869" width="12.5" style="44" customWidth="1"/>
    <col min="4870" max="4870" width="16" style="44" customWidth="1"/>
    <col min="4871" max="4871" width="12.75" style="44" bestFit="1" customWidth="1"/>
    <col min="4872" max="4872" width="19.125" style="44" customWidth="1"/>
    <col min="4873" max="4873" width="14.875" style="44" customWidth="1"/>
    <col min="4874" max="4874" width="16.125" style="44" customWidth="1"/>
    <col min="4875" max="4875" width="26.875" style="44" customWidth="1"/>
    <col min="4876" max="5121" width="9.125" style="44"/>
    <col min="5122" max="5122" width="6.25" style="44" bestFit="1" customWidth="1"/>
    <col min="5123" max="5123" width="38.25" style="44" bestFit="1" customWidth="1"/>
    <col min="5124" max="5124" width="38.25" style="44" customWidth="1"/>
    <col min="5125" max="5125" width="12.5" style="44" customWidth="1"/>
    <col min="5126" max="5126" width="16" style="44" customWidth="1"/>
    <col min="5127" max="5127" width="12.75" style="44" bestFit="1" customWidth="1"/>
    <col min="5128" max="5128" width="19.125" style="44" customWidth="1"/>
    <col min="5129" max="5129" width="14.875" style="44" customWidth="1"/>
    <col min="5130" max="5130" width="16.125" style="44" customWidth="1"/>
    <col min="5131" max="5131" width="26.875" style="44" customWidth="1"/>
    <col min="5132" max="5377" width="9.125" style="44"/>
    <col min="5378" max="5378" width="6.25" style="44" bestFit="1" customWidth="1"/>
    <col min="5379" max="5379" width="38.25" style="44" bestFit="1" customWidth="1"/>
    <col min="5380" max="5380" width="38.25" style="44" customWidth="1"/>
    <col min="5381" max="5381" width="12.5" style="44" customWidth="1"/>
    <col min="5382" max="5382" width="16" style="44" customWidth="1"/>
    <col min="5383" max="5383" width="12.75" style="44" bestFit="1" customWidth="1"/>
    <col min="5384" max="5384" width="19.125" style="44" customWidth="1"/>
    <col min="5385" max="5385" width="14.875" style="44" customWidth="1"/>
    <col min="5386" max="5386" width="16.125" style="44" customWidth="1"/>
    <col min="5387" max="5387" width="26.875" style="44" customWidth="1"/>
    <col min="5388" max="5633" width="9.125" style="44"/>
    <col min="5634" max="5634" width="6.25" style="44" bestFit="1" customWidth="1"/>
    <col min="5635" max="5635" width="38.25" style="44" bestFit="1" customWidth="1"/>
    <col min="5636" max="5636" width="38.25" style="44" customWidth="1"/>
    <col min="5637" max="5637" width="12.5" style="44" customWidth="1"/>
    <col min="5638" max="5638" width="16" style="44" customWidth="1"/>
    <col min="5639" max="5639" width="12.75" style="44" bestFit="1" customWidth="1"/>
    <col min="5640" max="5640" width="19.125" style="44" customWidth="1"/>
    <col min="5641" max="5641" width="14.875" style="44" customWidth="1"/>
    <col min="5642" max="5642" width="16.125" style="44" customWidth="1"/>
    <col min="5643" max="5643" width="26.875" style="44" customWidth="1"/>
    <col min="5644" max="5889" width="9.125" style="44"/>
    <col min="5890" max="5890" width="6.25" style="44" bestFit="1" customWidth="1"/>
    <col min="5891" max="5891" width="38.25" style="44" bestFit="1" customWidth="1"/>
    <col min="5892" max="5892" width="38.25" style="44" customWidth="1"/>
    <col min="5893" max="5893" width="12.5" style="44" customWidth="1"/>
    <col min="5894" max="5894" width="16" style="44" customWidth="1"/>
    <col min="5895" max="5895" width="12.75" style="44" bestFit="1" customWidth="1"/>
    <col min="5896" max="5896" width="19.125" style="44" customWidth="1"/>
    <col min="5897" max="5897" width="14.875" style="44" customWidth="1"/>
    <col min="5898" max="5898" width="16.125" style="44" customWidth="1"/>
    <col min="5899" max="5899" width="26.875" style="44" customWidth="1"/>
    <col min="5900" max="6145" width="9.125" style="44"/>
    <col min="6146" max="6146" width="6.25" style="44" bestFit="1" customWidth="1"/>
    <col min="6147" max="6147" width="38.25" style="44" bestFit="1" customWidth="1"/>
    <col min="6148" max="6148" width="38.25" style="44" customWidth="1"/>
    <col min="6149" max="6149" width="12.5" style="44" customWidth="1"/>
    <col min="6150" max="6150" width="16" style="44" customWidth="1"/>
    <col min="6151" max="6151" width="12.75" style="44" bestFit="1" customWidth="1"/>
    <col min="6152" max="6152" width="19.125" style="44" customWidth="1"/>
    <col min="6153" max="6153" width="14.875" style="44" customWidth="1"/>
    <col min="6154" max="6154" width="16.125" style="44" customWidth="1"/>
    <col min="6155" max="6155" width="26.875" style="44" customWidth="1"/>
    <col min="6156" max="6401" width="9.125" style="44"/>
    <col min="6402" max="6402" width="6.25" style="44" bestFit="1" customWidth="1"/>
    <col min="6403" max="6403" width="38.25" style="44" bestFit="1" customWidth="1"/>
    <col min="6404" max="6404" width="38.25" style="44" customWidth="1"/>
    <col min="6405" max="6405" width="12.5" style="44" customWidth="1"/>
    <col min="6406" max="6406" width="16" style="44" customWidth="1"/>
    <col min="6407" max="6407" width="12.75" style="44" bestFit="1" customWidth="1"/>
    <col min="6408" max="6408" width="19.125" style="44" customWidth="1"/>
    <col min="6409" max="6409" width="14.875" style="44" customWidth="1"/>
    <col min="6410" max="6410" width="16.125" style="44" customWidth="1"/>
    <col min="6411" max="6411" width="26.875" style="44" customWidth="1"/>
    <col min="6412" max="6657" width="9.125" style="44"/>
    <col min="6658" max="6658" width="6.25" style="44" bestFit="1" customWidth="1"/>
    <col min="6659" max="6659" width="38.25" style="44" bestFit="1" customWidth="1"/>
    <col min="6660" max="6660" width="38.25" style="44" customWidth="1"/>
    <col min="6661" max="6661" width="12.5" style="44" customWidth="1"/>
    <col min="6662" max="6662" width="16" style="44" customWidth="1"/>
    <col min="6663" max="6663" width="12.75" style="44" bestFit="1" customWidth="1"/>
    <col min="6664" max="6664" width="19.125" style="44" customWidth="1"/>
    <col min="6665" max="6665" width="14.875" style="44" customWidth="1"/>
    <col min="6666" max="6666" width="16.125" style="44" customWidth="1"/>
    <col min="6667" max="6667" width="26.875" style="44" customWidth="1"/>
    <col min="6668" max="6913" width="9.125" style="44"/>
    <col min="6914" max="6914" width="6.25" style="44" bestFit="1" customWidth="1"/>
    <col min="6915" max="6915" width="38.25" style="44" bestFit="1" customWidth="1"/>
    <col min="6916" max="6916" width="38.25" style="44" customWidth="1"/>
    <col min="6917" max="6917" width="12.5" style="44" customWidth="1"/>
    <col min="6918" max="6918" width="16" style="44" customWidth="1"/>
    <col min="6919" max="6919" width="12.75" style="44" bestFit="1" customWidth="1"/>
    <col min="6920" max="6920" width="19.125" style="44" customWidth="1"/>
    <col min="6921" max="6921" width="14.875" style="44" customWidth="1"/>
    <col min="6922" max="6922" width="16.125" style="44" customWidth="1"/>
    <col min="6923" max="6923" width="26.875" style="44" customWidth="1"/>
    <col min="6924" max="7169" width="9.125" style="44"/>
    <col min="7170" max="7170" width="6.25" style="44" bestFit="1" customWidth="1"/>
    <col min="7171" max="7171" width="38.25" style="44" bestFit="1" customWidth="1"/>
    <col min="7172" max="7172" width="38.25" style="44" customWidth="1"/>
    <col min="7173" max="7173" width="12.5" style="44" customWidth="1"/>
    <col min="7174" max="7174" width="16" style="44" customWidth="1"/>
    <col min="7175" max="7175" width="12.75" style="44" bestFit="1" customWidth="1"/>
    <col min="7176" max="7176" width="19.125" style="44" customWidth="1"/>
    <col min="7177" max="7177" width="14.875" style="44" customWidth="1"/>
    <col min="7178" max="7178" width="16.125" style="44" customWidth="1"/>
    <col min="7179" max="7179" width="26.875" style="44" customWidth="1"/>
    <col min="7180" max="7425" width="9.125" style="44"/>
    <col min="7426" max="7426" width="6.25" style="44" bestFit="1" customWidth="1"/>
    <col min="7427" max="7427" width="38.25" style="44" bestFit="1" customWidth="1"/>
    <col min="7428" max="7428" width="38.25" style="44" customWidth="1"/>
    <col min="7429" max="7429" width="12.5" style="44" customWidth="1"/>
    <col min="7430" max="7430" width="16" style="44" customWidth="1"/>
    <col min="7431" max="7431" width="12.75" style="44" bestFit="1" customWidth="1"/>
    <col min="7432" max="7432" width="19.125" style="44" customWidth="1"/>
    <col min="7433" max="7433" width="14.875" style="44" customWidth="1"/>
    <col min="7434" max="7434" width="16.125" style="44" customWidth="1"/>
    <col min="7435" max="7435" width="26.875" style="44" customWidth="1"/>
    <col min="7436" max="7681" width="9.125" style="44"/>
    <col min="7682" max="7682" width="6.25" style="44" bestFit="1" customWidth="1"/>
    <col min="7683" max="7683" width="38.25" style="44" bestFit="1" customWidth="1"/>
    <col min="7684" max="7684" width="38.25" style="44" customWidth="1"/>
    <col min="7685" max="7685" width="12.5" style="44" customWidth="1"/>
    <col min="7686" max="7686" width="16" style="44" customWidth="1"/>
    <col min="7687" max="7687" width="12.75" style="44" bestFit="1" customWidth="1"/>
    <col min="7688" max="7688" width="19.125" style="44" customWidth="1"/>
    <col min="7689" max="7689" width="14.875" style="44" customWidth="1"/>
    <col min="7690" max="7690" width="16.125" style="44" customWidth="1"/>
    <col min="7691" max="7691" width="26.875" style="44" customWidth="1"/>
    <col min="7692" max="7937" width="9.125" style="44"/>
    <col min="7938" max="7938" width="6.25" style="44" bestFit="1" customWidth="1"/>
    <col min="7939" max="7939" width="38.25" style="44" bestFit="1" customWidth="1"/>
    <col min="7940" max="7940" width="38.25" style="44" customWidth="1"/>
    <col min="7941" max="7941" width="12.5" style="44" customWidth="1"/>
    <col min="7942" max="7942" width="16" style="44" customWidth="1"/>
    <col min="7943" max="7943" width="12.75" style="44" bestFit="1" customWidth="1"/>
    <col min="7944" max="7944" width="19.125" style="44" customWidth="1"/>
    <col min="7945" max="7945" width="14.875" style="44" customWidth="1"/>
    <col min="7946" max="7946" width="16.125" style="44" customWidth="1"/>
    <col min="7947" max="7947" width="26.875" style="44" customWidth="1"/>
    <col min="7948" max="8193" width="9.125" style="44"/>
    <col min="8194" max="8194" width="6.25" style="44" bestFit="1" customWidth="1"/>
    <col min="8195" max="8195" width="38.25" style="44" bestFit="1" customWidth="1"/>
    <col min="8196" max="8196" width="38.25" style="44" customWidth="1"/>
    <col min="8197" max="8197" width="12.5" style="44" customWidth="1"/>
    <col min="8198" max="8198" width="16" style="44" customWidth="1"/>
    <col min="8199" max="8199" width="12.75" style="44" bestFit="1" customWidth="1"/>
    <col min="8200" max="8200" width="19.125" style="44" customWidth="1"/>
    <col min="8201" max="8201" width="14.875" style="44" customWidth="1"/>
    <col min="8202" max="8202" width="16.125" style="44" customWidth="1"/>
    <col min="8203" max="8203" width="26.875" style="44" customWidth="1"/>
    <col min="8204" max="8449" width="9.125" style="44"/>
    <col min="8450" max="8450" width="6.25" style="44" bestFit="1" customWidth="1"/>
    <col min="8451" max="8451" width="38.25" style="44" bestFit="1" customWidth="1"/>
    <col min="8452" max="8452" width="38.25" style="44" customWidth="1"/>
    <col min="8453" max="8453" width="12.5" style="44" customWidth="1"/>
    <col min="8454" max="8454" width="16" style="44" customWidth="1"/>
    <col min="8455" max="8455" width="12.75" style="44" bestFit="1" customWidth="1"/>
    <col min="8456" max="8456" width="19.125" style="44" customWidth="1"/>
    <col min="8457" max="8457" width="14.875" style="44" customWidth="1"/>
    <col min="8458" max="8458" width="16.125" style="44" customWidth="1"/>
    <col min="8459" max="8459" width="26.875" style="44" customWidth="1"/>
    <col min="8460" max="8705" width="9.125" style="44"/>
    <col min="8706" max="8706" width="6.25" style="44" bestFit="1" customWidth="1"/>
    <col min="8707" max="8707" width="38.25" style="44" bestFit="1" customWidth="1"/>
    <col min="8708" max="8708" width="38.25" style="44" customWidth="1"/>
    <col min="8709" max="8709" width="12.5" style="44" customWidth="1"/>
    <col min="8710" max="8710" width="16" style="44" customWidth="1"/>
    <col min="8711" max="8711" width="12.75" style="44" bestFit="1" customWidth="1"/>
    <col min="8712" max="8712" width="19.125" style="44" customWidth="1"/>
    <col min="8713" max="8713" width="14.875" style="44" customWidth="1"/>
    <col min="8714" max="8714" width="16.125" style="44" customWidth="1"/>
    <col min="8715" max="8715" width="26.875" style="44" customWidth="1"/>
    <col min="8716" max="8961" width="9.125" style="44"/>
    <col min="8962" max="8962" width="6.25" style="44" bestFit="1" customWidth="1"/>
    <col min="8963" max="8963" width="38.25" style="44" bestFit="1" customWidth="1"/>
    <col min="8964" max="8964" width="38.25" style="44" customWidth="1"/>
    <col min="8965" max="8965" width="12.5" style="44" customWidth="1"/>
    <col min="8966" max="8966" width="16" style="44" customWidth="1"/>
    <col min="8967" max="8967" width="12.75" style="44" bestFit="1" customWidth="1"/>
    <col min="8968" max="8968" width="19.125" style="44" customWidth="1"/>
    <col min="8969" max="8969" width="14.875" style="44" customWidth="1"/>
    <col min="8970" max="8970" width="16.125" style="44" customWidth="1"/>
    <col min="8971" max="8971" width="26.875" style="44" customWidth="1"/>
    <col min="8972" max="9217" width="9.125" style="44"/>
    <col min="9218" max="9218" width="6.25" style="44" bestFit="1" customWidth="1"/>
    <col min="9219" max="9219" width="38.25" style="44" bestFit="1" customWidth="1"/>
    <col min="9220" max="9220" width="38.25" style="44" customWidth="1"/>
    <col min="9221" max="9221" width="12.5" style="44" customWidth="1"/>
    <col min="9222" max="9222" width="16" style="44" customWidth="1"/>
    <col min="9223" max="9223" width="12.75" style="44" bestFit="1" customWidth="1"/>
    <col min="9224" max="9224" width="19.125" style="44" customWidth="1"/>
    <col min="9225" max="9225" width="14.875" style="44" customWidth="1"/>
    <col min="9226" max="9226" width="16.125" style="44" customWidth="1"/>
    <col min="9227" max="9227" width="26.875" style="44" customWidth="1"/>
    <col min="9228" max="9473" width="9.125" style="44"/>
    <col min="9474" max="9474" width="6.25" style="44" bestFit="1" customWidth="1"/>
    <col min="9475" max="9475" width="38.25" style="44" bestFit="1" customWidth="1"/>
    <col min="9476" max="9476" width="38.25" style="44" customWidth="1"/>
    <col min="9477" max="9477" width="12.5" style="44" customWidth="1"/>
    <col min="9478" max="9478" width="16" style="44" customWidth="1"/>
    <col min="9479" max="9479" width="12.75" style="44" bestFit="1" customWidth="1"/>
    <col min="9480" max="9480" width="19.125" style="44" customWidth="1"/>
    <col min="9481" max="9481" width="14.875" style="44" customWidth="1"/>
    <col min="9482" max="9482" width="16.125" style="44" customWidth="1"/>
    <col min="9483" max="9483" width="26.875" style="44" customWidth="1"/>
    <col min="9484" max="9729" width="9.125" style="44"/>
    <col min="9730" max="9730" width="6.25" style="44" bestFit="1" customWidth="1"/>
    <col min="9731" max="9731" width="38.25" style="44" bestFit="1" customWidth="1"/>
    <col min="9732" max="9732" width="38.25" style="44" customWidth="1"/>
    <col min="9733" max="9733" width="12.5" style="44" customWidth="1"/>
    <col min="9734" max="9734" width="16" style="44" customWidth="1"/>
    <col min="9735" max="9735" width="12.75" style="44" bestFit="1" customWidth="1"/>
    <col min="9736" max="9736" width="19.125" style="44" customWidth="1"/>
    <col min="9737" max="9737" width="14.875" style="44" customWidth="1"/>
    <col min="9738" max="9738" width="16.125" style="44" customWidth="1"/>
    <col min="9739" max="9739" width="26.875" style="44" customWidth="1"/>
    <col min="9740" max="9985" width="9.125" style="44"/>
    <col min="9986" max="9986" width="6.25" style="44" bestFit="1" customWidth="1"/>
    <col min="9987" max="9987" width="38.25" style="44" bestFit="1" customWidth="1"/>
    <col min="9988" max="9988" width="38.25" style="44" customWidth="1"/>
    <col min="9989" max="9989" width="12.5" style="44" customWidth="1"/>
    <col min="9990" max="9990" width="16" style="44" customWidth="1"/>
    <col min="9991" max="9991" width="12.75" style="44" bestFit="1" customWidth="1"/>
    <col min="9992" max="9992" width="19.125" style="44" customWidth="1"/>
    <col min="9993" max="9993" width="14.875" style="44" customWidth="1"/>
    <col min="9994" max="9994" width="16.125" style="44" customWidth="1"/>
    <col min="9995" max="9995" width="26.875" style="44" customWidth="1"/>
    <col min="9996" max="10241" width="9.125" style="44"/>
    <col min="10242" max="10242" width="6.25" style="44" bestFit="1" customWidth="1"/>
    <col min="10243" max="10243" width="38.25" style="44" bestFit="1" customWidth="1"/>
    <col min="10244" max="10244" width="38.25" style="44" customWidth="1"/>
    <col min="10245" max="10245" width="12.5" style="44" customWidth="1"/>
    <col min="10246" max="10246" width="16" style="44" customWidth="1"/>
    <col min="10247" max="10247" width="12.75" style="44" bestFit="1" customWidth="1"/>
    <col min="10248" max="10248" width="19.125" style="44" customWidth="1"/>
    <col min="10249" max="10249" width="14.875" style="44" customWidth="1"/>
    <col min="10250" max="10250" width="16.125" style="44" customWidth="1"/>
    <col min="10251" max="10251" width="26.875" style="44" customWidth="1"/>
    <col min="10252" max="10497" width="9.125" style="44"/>
    <col min="10498" max="10498" width="6.25" style="44" bestFit="1" customWidth="1"/>
    <col min="10499" max="10499" width="38.25" style="44" bestFit="1" customWidth="1"/>
    <col min="10500" max="10500" width="38.25" style="44" customWidth="1"/>
    <col min="10501" max="10501" width="12.5" style="44" customWidth="1"/>
    <col min="10502" max="10502" width="16" style="44" customWidth="1"/>
    <col min="10503" max="10503" width="12.75" style="44" bestFit="1" customWidth="1"/>
    <col min="10504" max="10504" width="19.125" style="44" customWidth="1"/>
    <col min="10505" max="10505" width="14.875" style="44" customWidth="1"/>
    <col min="10506" max="10506" width="16.125" style="44" customWidth="1"/>
    <col min="10507" max="10507" width="26.875" style="44" customWidth="1"/>
    <col min="10508" max="10753" width="9.125" style="44"/>
    <col min="10754" max="10754" width="6.25" style="44" bestFit="1" customWidth="1"/>
    <col min="10755" max="10755" width="38.25" style="44" bestFit="1" customWidth="1"/>
    <col min="10756" max="10756" width="38.25" style="44" customWidth="1"/>
    <col min="10757" max="10757" width="12.5" style="44" customWidth="1"/>
    <col min="10758" max="10758" width="16" style="44" customWidth="1"/>
    <col min="10759" max="10759" width="12.75" style="44" bestFit="1" customWidth="1"/>
    <col min="10760" max="10760" width="19.125" style="44" customWidth="1"/>
    <col min="10761" max="10761" width="14.875" style="44" customWidth="1"/>
    <col min="10762" max="10762" width="16.125" style="44" customWidth="1"/>
    <col min="10763" max="10763" width="26.875" style="44" customWidth="1"/>
    <col min="10764" max="11009" width="9.125" style="44"/>
    <col min="11010" max="11010" width="6.25" style="44" bestFit="1" customWidth="1"/>
    <col min="11011" max="11011" width="38.25" style="44" bestFit="1" customWidth="1"/>
    <col min="11012" max="11012" width="38.25" style="44" customWidth="1"/>
    <col min="11013" max="11013" width="12.5" style="44" customWidth="1"/>
    <col min="11014" max="11014" width="16" style="44" customWidth="1"/>
    <col min="11015" max="11015" width="12.75" style="44" bestFit="1" customWidth="1"/>
    <col min="11016" max="11016" width="19.125" style="44" customWidth="1"/>
    <col min="11017" max="11017" width="14.875" style="44" customWidth="1"/>
    <col min="11018" max="11018" width="16.125" style="44" customWidth="1"/>
    <col min="11019" max="11019" width="26.875" style="44" customWidth="1"/>
    <col min="11020" max="11265" width="9.125" style="44"/>
    <col min="11266" max="11266" width="6.25" style="44" bestFit="1" customWidth="1"/>
    <col min="11267" max="11267" width="38.25" style="44" bestFit="1" customWidth="1"/>
    <col min="11268" max="11268" width="38.25" style="44" customWidth="1"/>
    <col min="11269" max="11269" width="12.5" style="44" customWidth="1"/>
    <col min="11270" max="11270" width="16" style="44" customWidth="1"/>
    <col min="11271" max="11271" width="12.75" style="44" bestFit="1" customWidth="1"/>
    <col min="11272" max="11272" width="19.125" style="44" customWidth="1"/>
    <col min="11273" max="11273" width="14.875" style="44" customWidth="1"/>
    <col min="11274" max="11274" width="16.125" style="44" customWidth="1"/>
    <col min="11275" max="11275" width="26.875" style="44" customWidth="1"/>
    <col min="11276" max="11521" width="9.125" style="44"/>
    <col min="11522" max="11522" width="6.25" style="44" bestFit="1" customWidth="1"/>
    <col min="11523" max="11523" width="38.25" style="44" bestFit="1" customWidth="1"/>
    <col min="11524" max="11524" width="38.25" style="44" customWidth="1"/>
    <col min="11525" max="11525" width="12.5" style="44" customWidth="1"/>
    <col min="11526" max="11526" width="16" style="44" customWidth="1"/>
    <col min="11527" max="11527" width="12.75" style="44" bestFit="1" customWidth="1"/>
    <col min="11528" max="11528" width="19.125" style="44" customWidth="1"/>
    <col min="11529" max="11529" width="14.875" style="44" customWidth="1"/>
    <col min="11530" max="11530" width="16.125" style="44" customWidth="1"/>
    <col min="11531" max="11531" width="26.875" style="44" customWidth="1"/>
    <col min="11532" max="11777" width="9.125" style="44"/>
    <col min="11778" max="11778" width="6.25" style="44" bestFit="1" customWidth="1"/>
    <col min="11779" max="11779" width="38.25" style="44" bestFit="1" customWidth="1"/>
    <col min="11780" max="11780" width="38.25" style="44" customWidth="1"/>
    <col min="11781" max="11781" width="12.5" style="44" customWidth="1"/>
    <col min="11782" max="11782" width="16" style="44" customWidth="1"/>
    <col min="11783" max="11783" width="12.75" style="44" bestFit="1" customWidth="1"/>
    <col min="11784" max="11784" width="19.125" style="44" customWidth="1"/>
    <col min="11785" max="11785" width="14.875" style="44" customWidth="1"/>
    <col min="11786" max="11786" width="16.125" style="44" customWidth="1"/>
    <col min="11787" max="11787" width="26.875" style="44" customWidth="1"/>
    <col min="11788" max="12033" width="9.125" style="44"/>
    <col min="12034" max="12034" width="6.25" style="44" bestFit="1" customWidth="1"/>
    <col min="12035" max="12035" width="38.25" style="44" bestFit="1" customWidth="1"/>
    <col min="12036" max="12036" width="38.25" style="44" customWidth="1"/>
    <col min="12037" max="12037" width="12.5" style="44" customWidth="1"/>
    <col min="12038" max="12038" width="16" style="44" customWidth="1"/>
    <col min="12039" max="12039" width="12.75" style="44" bestFit="1" customWidth="1"/>
    <col min="12040" max="12040" width="19.125" style="44" customWidth="1"/>
    <col min="12041" max="12041" width="14.875" style="44" customWidth="1"/>
    <col min="12042" max="12042" width="16.125" style="44" customWidth="1"/>
    <col min="12043" max="12043" width="26.875" style="44" customWidth="1"/>
    <col min="12044" max="12289" width="9.125" style="44"/>
    <col min="12290" max="12290" width="6.25" style="44" bestFit="1" customWidth="1"/>
    <col min="12291" max="12291" width="38.25" style="44" bestFit="1" customWidth="1"/>
    <col min="12292" max="12292" width="38.25" style="44" customWidth="1"/>
    <col min="12293" max="12293" width="12.5" style="44" customWidth="1"/>
    <col min="12294" max="12294" width="16" style="44" customWidth="1"/>
    <col min="12295" max="12295" width="12.75" style="44" bestFit="1" customWidth="1"/>
    <col min="12296" max="12296" width="19.125" style="44" customWidth="1"/>
    <col min="12297" max="12297" width="14.875" style="44" customWidth="1"/>
    <col min="12298" max="12298" width="16.125" style="44" customWidth="1"/>
    <col min="12299" max="12299" width="26.875" style="44" customWidth="1"/>
    <col min="12300" max="12545" width="9.125" style="44"/>
    <col min="12546" max="12546" width="6.25" style="44" bestFit="1" customWidth="1"/>
    <col min="12547" max="12547" width="38.25" style="44" bestFit="1" customWidth="1"/>
    <col min="12548" max="12548" width="38.25" style="44" customWidth="1"/>
    <col min="12549" max="12549" width="12.5" style="44" customWidth="1"/>
    <col min="12550" max="12550" width="16" style="44" customWidth="1"/>
    <col min="12551" max="12551" width="12.75" style="44" bestFit="1" customWidth="1"/>
    <col min="12552" max="12552" width="19.125" style="44" customWidth="1"/>
    <col min="12553" max="12553" width="14.875" style="44" customWidth="1"/>
    <col min="12554" max="12554" width="16.125" style="44" customWidth="1"/>
    <col min="12555" max="12555" width="26.875" style="44" customWidth="1"/>
    <col min="12556" max="12801" width="9.125" style="44"/>
    <col min="12802" max="12802" width="6.25" style="44" bestFit="1" customWidth="1"/>
    <col min="12803" max="12803" width="38.25" style="44" bestFit="1" customWidth="1"/>
    <col min="12804" max="12804" width="38.25" style="44" customWidth="1"/>
    <col min="12805" max="12805" width="12.5" style="44" customWidth="1"/>
    <col min="12806" max="12806" width="16" style="44" customWidth="1"/>
    <col min="12807" max="12807" width="12.75" style="44" bestFit="1" customWidth="1"/>
    <col min="12808" max="12808" width="19.125" style="44" customWidth="1"/>
    <col min="12809" max="12809" width="14.875" style="44" customWidth="1"/>
    <col min="12810" max="12810" width="16.125" style="44" customWidth="1"/>
    <col min="12811" max="12811" width="26.875" style="44" customWidth="1"/>
    <col min="12812" max="13057" width="9.125" style="44"/>
    <col min="13058" max="13058" width="6.25" style="44" bestFit="1" customWidth="1"/>
    <col min="13059" max="13059" width="38.25" style="44" bestFit="1" customWidth="1"/>
    <col min="13060" max="13060" width="38.25" style="44" customWidth="1"/>
    <col min="13061" max="13061" width="12.5" style="44" customWidth="1"/>
    <col min="13062" max="13062" width="16" style="44" customWidth="1"/>
    <col min="13063" max="13063" width="12.75" style="44" bestFit="1" customWidth="1"/>
    <col min="13064" max="13064" width="19.125" style="44" customWidth="1"/>
    <col min="13065" max="13065" width="14.875" style="44" customWidth="1"/>
    <col min="13066" max="13066" width="16.125" style="44" customWidth="1"/>
    <col min="13067" max="13067" width="26.875" style="44" customWidth="1"/>
    <col min="13068" max="13313" width="9.125" style="44"/>
    <col min="13314" max="13314" width="6.25" style="44" bestFit="1" customWidth="1"/>
    <col min="13315" max="13315" width="38.25" style="44" bestFit="1" customWidth="1"/>
    <col min="13316" max="13316" width="38.25" style="44" customWidth="1"/>
    <col min="13317" max="13317" width="12.5" style="44" customWidth="1"/>
    <col min="13318" max="13318" width="16" style="44" customWidth="1"/>
    <col min="13319" max="13319" width="12.75" style="44" bestFit="1" customWidth="1"/>
    <col min="13320" max="13320" width="19.125" style="44" customWidth="1"/>
    <col min="13321" max="13321" width="14.875" style="44" customWidth="1"/>
    <col min="13322" max="13322" width="16.125" style="44" customWidth="1"/>
    <col min="13323" max="13323" width="26.875" style="44" customWidth="1"/>
    <col min="13324" max="13569" width="9.125" style="44"/>
    <col min="13570" max="13570" width="6.25" style="44" bestFit="1" customWidth="1"/>
    <col min="13571" max="13571" width="38.25" style="44" bestFit="1" customWidth="1"/>
    <col min="13572" max="13572" width="38.25" style="44" customWidth="1"/>
    <col min="13573" max="13573" width="12.5" style="44" customWidth="1"/>
    <col min="13574" max="13574" width="16" style="44" customWidth="1"/>
    <col min="13575" max="13575" width="12.75" style="44" bestFit="1" customWidth="1"/>
    <col min="13576" max="13576" width="19.125" style="44" customWidth="1"/>
    <col min="13577" max="13577" width="14.875" style="44" customWidth="1"/>
    <col min="13578" max="13578" width="16.125" style="44" customWidth="1"/>
    <col min="13579" max="13579" width="26.875" style="44" customWidth="1"/>
    <col min="13580" max="13825" width="9.125" style="44"/>
    <col min="13826" max="13826" width="6.25" style="44" bestFit="1" customWidth="1"/>
    <col min="13827" max="13827" width="38.25" style="44" bestFit="1" customWidth="1"/>
    <col min="13828" max="13828" width="38.25" style="44" customWidth="1"/>
    <col min="13829" max="13829" width="12.5" style="44" customWidth="1"/>
    <col min="13830" max="13830" width="16" style="44" customWidth="1"/>
    <col min="13831" max="13831" width="12.75" style="44" bestFit="1" customWidth="1"/>
    <col min="13832" max="13832" width="19.125" style="44" customWidth="1"/>
    <col min="13833" max="13833" width="14.875" style="44" customWidth="1"/>
    <col min="13834" max="13834" width="16.125" style="44" customWidth="1"/>
    <col min="13835" max="13835" width="26.875" style="44" customWidth="1"/>
    <col min="13836" max="14081" width="9.125" style="44"/>
    <col min="14082" max="14082" width="6.25" style="44" bestFit="1" customWidth="1"/>
    <col min="14083" max="14083" width="38.25" style="44" bestFit="1" customWidth="1"/>
    <col min="14084" max="14084" width="38.25" style="44" customWidth="1"/>
    <col min="14085" max="14085" width="12.5" style="44" customWidth="1"/>
    <col min="14086" max="14086" width="16" style="44" customWidth="1"/>
    <col min="14087" max="14087" width="12.75" style="44" bestFit="1" customWidth="1"/>
    <col min="14088" max="14088" width="19.125" style="44" customWidth="1"/>
    <col min="14089" max="14089" width="14.875" style="44" customWidth="1"/>
    <col min="14090" max="14090" width="16.125" style="44" customWidth="1"/>
    <col min="14091" max="14091" width="26.875" style="44" customWidth="1"/>
    <col min="14092" max="14337" width="9.125" style="44"/>
    <col min="14338" max="14338" width="6.25" style="44" bestFit="1" customWidth="1"/>
    <col min="14339" max="14339" width="38.25" style="44" bestFit="1" customWidth="1"/>
    <col min="14340" max="14340" width="38.25" style="44" customWidth="1"/>
    <col min="14341" max="14341" width="12.5" style="44" customWidth="1"/>
    <col min="14342" max="14342" width="16" style="44" customWidth="1"/>
    <col min="14343" max="14343" width="12.75" style="44" bestFit="1" customWidth="1"/>
    <col min="14344" max="14344" width="19.125" style="44" customWidth="1"/>
    <col min="14345" max="14345" width="14.875" style="44" customWidth="1"/>
    <col min="14346" max="14346" width="16.125" style="44" customWidth="1"/>
    <col min="14347" max="14347" width="26.875" style="44" customWidth="1"/>
    <col min="14348" max="14593" width="9.125" style="44"/>
    <col min="14594" max="14594" width="6.25" style="44" bestFit="1" customWidth="1"/>
    <col min="14595" max="14595" width="38.25" style="44" bestFit="1" customWidth="1"/>
    <col min="14596" max="14596" width="38.25" style="44" customWidth="1"/>
    <col min="14597" max="14597" width="12.5" style="44" customWidth="1"/>
    <col min="14598" max="14598" width="16" style="44" customWidth="1"/>
    <col min="14599" max="14599" width="12.75" style="44" bestFit="1" customWidth="1"/>
    <col min="14600" max="14600" width="19.125" style="44" customWidth="1"/>
    <col min="14601" max="14601" width="14.875" style="44" customWidth="1"/>
    <col min="14602" max="14602" width="16.125" style="44" customWidth="1"/>
    <col min="14603" max="14603" width="26.875" style="44" customWidth="1"/>
    <col min="14604" max="14849" width="9.125" style="44"/>
    <col min="14850" max="14850" width="6.25" style="44" bestFit="1" customWidth="1"/>
    <col min="14851" max="14851" width="38.25" style="44" bestFit="1" customWidth="1"/>
    <col min="14852" max="14852" width="38.25" style="44" customWidth="1"/>
    <col min="14853" max="14853" width="12.5" style="44" customWidth="1"/>
    <col min="14854" max="14854" width="16" style="44" customWidth="1"/>
    <col min="14855" max="14855" width="12.75" style="44" bestFit="1" customWidth="1"/>
    <col min="14856" max="14856" width="19.125" style="44" customWidth="1"/>
    <col min="14857" max="14857" width="14.875" style="44" customWidth="1"/>
    <col min="14858" max="14858" width="16.125" style="44" customWidth="1"/>
    <col min="14859" max="14859" width="26.875" style="44" customWidth="1"/>
    <col min="14860" max="15105" width="9.125" style="44"/>
    <col min="15106" max="15106" width="6.25" style="44" bestFit="1" customWidth="1"/>
    <col min="15107" max="15107" width="38.25" style="44" bestFit="1" customWidth="1"/>
    <col min="15108" max="15108" width="38.25" style="44" customWidth="1"/>
    <col min="15109" max="15109" width="12.5" style="44" customWidth="1"/>
    <col min="15110" max="15110" width="16" style="44" customWidth="1"/>
    <col min="15111" max="15111" width="12.75" style="44" bestFit="1" customWidth="1"/>
    <col min="15112" max="15112" width="19.125" style="44" customWidth="1"/>
    <col min="15113" max="15113" width="14.875" style="44" customWidth="1"/>
    <col min="15114" max="15114" width="16.125" style="44" customWidth="1"/>
    <col min="15115" max="15115" width="26.875" style="44" customWidth="1"/>
    <col min="15116" max="15361" width="9.125" style="44"/>
    <col min="15362" max="15362" width="6.25" style="44" bestFit="1" customWidth="1"/>
    <col min="15363" max="15363" width="38.25" style="44" bestFit="1" customWidth="1"/>
    <col min="15364" max="15364" width="38.25" style="44" customWidth="1"/>
    <col min="15365" max="15365" width="12.5" style="44" customWidth="1"/>
    <col min="15366" max="15366" width="16" style="44" customWidth="1"/>
    <col min="15367" max="15367" width="12.75" style="44" bestFit="1" customWidth="1"/>
    <col min="15368" max="15368" width="19.125" style="44" customWidth="1"/>
    <col min="15369" max="15369" width="14.875" style="44" customWidth="1"/>
    <col min="15370" max="15370" width="16.125" style="44" customWidth="1"/>
    <col min="15371" max="15371" width="26.875" style="44" customWidth="1"/>
    <col min="15372" max="15617" width="9.125" style="44"/>
    <col min="15618" max="15618" width="6.25" style="44" bestFit="1" customWidth="1"/>
    <col min="15619" max="15619" width="38.25" style="44" bestFit="1" customWidth="1"/>
    <col min="15620" max="15620" width="38.25" style="44" customWidth="1"/>
    <col min="15621" max="15621" width="12.5" style="44" customWidth="1"/>
    <col min="15622" max="15622" width="16" style="44" customWidth="1"/>
    <col min="15623" max="15623" width="12.75" style="44" bestFit="1" customWidth="1"/>
    <col min="15624" max="15624" width="19.125" style="44" customWidth="1"/>
    <col min="15625" max="15625" width="14.875" style="44" customWidth="1"/>
    <col min="15626" max="15626" width="16.125" style="44" customWidth="1"/>
    <col min="15627" max="15627" width="26.875" style="44" customWidth="1"/>
    <col min="15628" max="15873" width="9.125" style="44"/>
    <col min="15874" max="15874" width="6.25" style="44" bestFit="1" customWidth="1"/>
    <col min="15875" max="15875" width="38.25" style="44" bestFit="1" customWidth="1"/>
    <col min="15876" max="15876" width="38.25" style="44" customWidth="1"/>
    <col min="15877" max="15877" width="12.5" style="44" customWidth="1"/>
    <col min="15878" max="15878" width="16" style="44" customWidth="1"/>
    <col min="15879" max="15879" width="12.75" style="44" bestFit="1" customWidth="1"/>
    <col min="15880" max="15880" width="19.125" style="44" customWidth="1"/>
    <col min="15881" max="15881" width="14.875" style="44" customWidth="1"/>
    <col min="15882" max="15882" width="16.125" style="44" customWidth="1"/>
    <col min="15883" max="15883" width="26.875" style="44" customWidth="1"/>
    <col min="15884" max="16129" width="9.125" style="44"/>
    <col min="16130" max="16130" width="6.25" style="44" bestFit="1" customWidth="1"/>
    <col min="16131" max="16131" width="38.25" style="44" bestFit="1" customWidth="1"/>
    <col min="16132" max="16132" width="38.25" style="44" customWidth="1"/>
    <col min="16133" max="16133" width="12.5" style="44" customWidth="1"/>
    <col min="16134" max="16134" width="16" style="44" customWidth="1"/>
    <col min="16135" max="16135" width="12.75" style="44" bestFit="1" customWidth="1"/>
    <col min="16136" max="16136" width="19.125" style="44" customWidth="1"/>
    <col min="16137" max="16137" width="14.875" style="44" customWidth="1"/>
    <col min="16138" max="16138" width="16.125" style="44" customWidth="1"/>
    <col min="16139" max="16139" width="26.875" style="44" customWidth="1"/>
    <col min="16140" max="16384" width="9.125" style="44"/>
  </cols>
  <sheetData>
    <row r="1" spans="2:74" s="40" customFormat="1" ht="17.25">
      <c r="B1" s="101" t="s">
        <v>373</v>
      </c>
      <c r="C1" s="102"/>
      <c r="D1" s="102"/>
      <c r="E1" s="102"/>
      <c r="F1" s="102"/>
      <c r="G1" s="102"/>
      <c r="H1" s="103"/>
      <c r="I1" s="91"/>
      <c r="J1" s="39"/>
    </row>
    <row r="2" spans="2:74">
      <c r="B2" s="41"/>
      <c r="C2" s="41"/>
      <c r="D2" s="42"/>
      <c r="E2" s="42"/>
      <c r="F2" s="41"/>
      <c r="G2" s="43"/>
      <c r="H2" s="42"/>
      <c r="J2" s="42"/>
    </row>
    <row r="3" spans="2:74" s="40" customFormat="1">
      <c r="B3" s="104" t="s">
        <v>374</v>
      </c>
      <c r="C3" s="106" t="s">
        <v>375</v>
      </c>
      <c r="D3" s="45" t="s">
        <v>376</v>
      </c>
      <c r="E3" s="99" t="s">
        <v>377</v>
      </c>
      <c r="F3" s="100"/>
      <c r="G3" s="99" t="s">
        <v>378</v>
      </c>
      <c r="H3" s="100"/>
      <c r="I3" s="99" t="s">
        <v>379</v>
      </c>
      <c r="J3" s="100"/>
      <c r="K3" s="46"/>
      <c r="L3" s="38" t="s">
        <v>380</v>
      </c>
    </row>
    <row r="4" spans="2:74" s="52" customFormat="1" ht="31.5">
      <c r="B4" s="105"/>
      <c r="C4" s="107"/>
      <c r="D4" s="47"/>
      <c r="E4" s="49" t="s">
        <v>381</v>
      </c>
      <c r="F4" s="48" t="s">
        <v>382</v>
      </c>
      <c r="G4" s="49" t="s">
        <v>381</v>
      </c>
      <c r="H4" s="48" t="s">
        <v>383</v>
      </c>
      <c r="I4" s="49" t="s">
        <v>381</v>
      </c>
      <c r="J4" s="48" t="s">
        <v>382</v>
      </c>
      <c r="K4" s="50" t="s">
        <v>384</v>
      </c>
      <c r="L4" s="51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</row>
    <row r="5" spans="2:74">
      <c r="B5" s="53">
        <v>6</v>
      </c>
      <c r="C5" s="54" t="s">
        <v>385</v>
      </c>
      <c r="D5" s="55"/>
      <c r="E5" s="57"/>
      <c r="F5" s="56"/>
      <c r="G5" s="57"/>
      <c r="H5" s="56"/>
      <c r="I5" s="57"/>
      <c r="J5" s="56"/>
      <c r="K5" s="58"/>
      <c r="L5" s="59"/>
    </row>
    <row r="6" spans="2:74">
      <c r="B6" s="53">
        <v>61</v>
      </c>
      <c r="C6" s="53" t="s">
        <v>386</v>
      </c>
      <c r="D6" s="60"/>
      <c r="E6" s="57"/>
      <c r="F6" s="56"/>
      <c r="G6" s="57"/>
      <c r="H6" s="56"/>
      <c r="I6" s="57"/>
      <c r="J6" s="56"/>
      <c r="K6" s="58"/>
      <c r="L6" s="59"/>
    </row>
    <row r="7" spans="2:74">
      <c r="B7" s="53"/>
      <c r="C7" s="53"/>
      <c r="D7" s="60" t="s">
        <v>386</v>
      </c>
      <c r="E7" s="57">
        <v>1</v>
      </c>
      <c r="F7" s="56">
        <v>673</v>
      </c>
      <c r="G7" s="57">
        <v>1</v>
      </c>
      <c r="H7" s="56">
        <v>668</v>
      </c>
      <c r="I7" s="57">
        <v>1</v>
      </c>
      <c r="J7" s="56">
        <v>685</v>
      </c>
      <c r="K7" s="58"/>
      <c r="L7" s="59"/>
    </row>
    <row r="8" spans="2:74" s="40" customFormat="1">
      <c r="B8" s="61"/>
      <c r="C8" s="61" t="s">
        <v>387</v>
      </c>
      <c r="D8" s="62"/>
      <c r="E8" s="64">
        <f t="shared" ref="E8:J8" si="0">SUM(E7)</f>
        <v>1</v>
      </c>
      <c r="F8" s="63">
        <f t="shared" si="0"/>
        <v>673</v>
      </c>
      <c r="G8" s="64">
        <f t="shared" si="0"/>
        <v>1</v>
      </c>
      <c r="H8" s="63">
        <f t="shared" si="0"/>
        <v>668</v>
      </c>
      <c r="I8" s="64">
        <f t="shared" si="0"/>
        <v>1</v>
      </c>
      <c r="J8" s="63">
        <f t="shared" si="0"/>
        <v>685</v>
      </c>
      <c r="K8" s="46"/>
      <c r="L8" s="59"/>
    </row>
    <row r="9" spans="2:74">
      <c r="B9" s="53">
        <v>61</v>
      </c>
      <c r="C9" s="53" t="s">
        <v>388</v>
      </c>
      <c r="D9" s="60"/>
      <c r="E9" s="57"/>
      <c r="F9" s="56"/>
      <c r="G9" s="57"/>
      <c r="H9" s="56"/>
      <c r="I9" s="57"/>
      <c r="J9" s="56"/>
      <c r="K9" s="58"/>
      <c r="L9" s="59"/>
    </row>
    <row r="10" spans="2:74">
      <c r="B10" s="53"/>
      <c r="C10" s="53"/>
      <c r="D10" s="60" t="s">
        <v>389</v>
      </c>
      <c r="E10" s="57">
        <v>1</v>
      </c>
      <c r="F10" s="56">
        <v>129</v>
      </c>
      <c r="G10" s="57">
        <v>1</v>
      </c>
      <c r="H10" s="56">
        <v>135</v>
      </c>
      <c r="I10" s="57">
        <v>1</v>
      </c>
      <c r="J10" s="56">
        <v>139</v>
      </c>
      <c r="K10" s="58"/>
      <c r="L10" s="59"/>
    </row>
    <row r="11" spans="2:74">
      <c r="B11" s="53"/>
      <c r="C11" s="53"/>
      <c r="D11" s="60" t="s">
        <v>390</v>
      </c>
      <c r="E11" s="57">
        <v>0.25</v>
      </c>
      <c r="F11" s="56">
        <v>30</v>
      </c>
      <c r="G11" s="57">
        <v>0</v>
      </c>
      <c r="H11" s="56">
        <v>0</v>
      </c>
      <c r="I11" s="57">
        <v>0.5</v>
      </c>
      <c r="J11" s="56">
        <v>130</v>
      </c>
      <c r="K11" s="58" t="s">
        <v>494</v>
      </c>
      <c r="L11" s="59" t="s">
        <v>469</v>
      </c>
    </row>
    <row r="12" spans="2:74">
      <c r="B12" s="53"/>
      <c r="C12" s="53"/>
      <c r="D12" s="60" t="s">
        <v>178</v>
      </c>
      <c r="E12" s="57">
        <v>3</v>
      </c>
      <c r="F12" s="56">
        <v>507</v>
      </c>
      <c r="G12" s="57">
        <v>3</v>
      </c>
      <c r="H12" s="56">
        <v>537</v>
      </c>
      <c r="I12" s="57">
        <v>3</v>
      </c>
      <c r="J12" s="56">
        <v>550</v>
      </c>
      <c r="K12" s="58"/>
      <c r="L12" s="59"/>
    </row>
    <row r="13" spans="2:74">
      <c r="B13" s="53"/>
      <c r="C13" s="53"/>
      <c r="D13" s="60" t="s">
        <v>391</v>
      </c>
      <c r="E13" s="57">
        <v>1.5</v>
      </c>
      <c r="F13" s="56">
        <v>221</v>
      </c>
      <c r="G13" s="57">
        <v>1.5</v>
      </c>
      <c r="H13" s="56">
        <v>182</v>
      </c>
      <c r="I13" s="57">
        <v>0</v>
      </c>
      <c r="J13" s="56">
        <v>0</v>
      </c>
      <c r="K13" s="58" t="s">
        <v>471</v>
      </c>
      <c r="L13" s="59" t="s">
        <v>470</v>
      </c>
    </row>
    <row r="14" spans="2:74" s="40" customFormat="1">
      <c r="B14" s="61"/>
      <c r="C14" s="61" t="s">
        <v>392</v>
      </c>
      <c r="D14" s="62"/>
      <c r="E14" s="64">
        <f t="shared" ref="E14:J14" si="1">SUM(E10:E13)</f>
        <v>5.75</v>
      </c>
      <c r="F14" s="63">
        <f t="shared" si="1"/>
        <v>887</v>
      </c>
      <c r="G14" s="64">
        <f t="shared" si="1"/>
        <v>5.5</v>
      </c>
      <c r="H14" s="63">
        <f t="shared" si="1"/>
        <v>854</v>
      </c>
      <c r="I14" s="64">
        <f t="shared" si="1"/>
        <v>4.5</v>
      </c>
      <c r="J14" s="63">
        <f t="shared" si="1"/>
        <v>819</v>
      </c>
      <c r="K14" s="65"/>
      <c r="L14" s="66"/>
    </row>
    <row r="15" spans="2:74">
      <c r="B15" s="53">
        <v>62</v>
      </c>
      <c r="C15" s="53" t="s">
        <v>393</v>
      </c>
      <c r="D15" s="60"/>
      <c r="E15" s="57"/>
      <c r="F15" s="56"/>
      <c r="G15" s="57"/>
      <c r="H15" s="56"/>
      <c r="I15" s="57"/>
      <c r="J15" s="56"/>
      <c r="K15" s="58"/>
      <c r="L15" s="59"/>
    </row>
    <row r="16" spans="2:74">
      <c r="B16" s="53"/>
      <c r="C16" s="53"/>
      <c r="D16" s="60" t="s">
        <v>176</v>
      </c>
      <c r="E16" s="57">
        <v>2</v>
      </c>
      <c r="F16" s="56">
        <v>466</v>
      </c>
      <c r="G16" s="57">
        <v>2</v>
      </c>
      <c r="H16" s="56">
        <v>384</v>
      </c>
      <c r="I16" s="57">
        <v>2</v>
      </c>
      <c r="J16" s="56">
        <v>415</v>
      </c>
      <c r="K16" s="58"/>
      <c r="L16" s="59"/>
    </row>
    <row r="17" spans="2:12">
      <c r="B17" s="53"/>
      <c r="C17" s="53"/>
      <c r="D17" s="60" t="s">
        <v>394</v>
      </c>
      <c r="E17" s="57">
        <v>2</v>
      </c>
      <c r="F17" s="56">
        <v>305</v>
      </c>
      <c r="G17" s="57">
        <v>2</v>
      </c>
      <c r="H17" s="56">
        <v>306</v>
      </c>
      <c r="I17" s="57">
        <v>2</v>
      </c>
      <c r="J17" s="56">
        <f>314+35</f>
        <v>349</v>
      </c>
      <c r="K17" s="58"/>
      <c r="L17" s="59"/>
    </row>
    <row r="18" spans="2:12">
      <c r="B18" s="53"/>
      <c r="C18" s="53"/>
      <c r="D18" s="60" t="s">
        <v>395</v>
      </c>
      <c r="E18" s="57">
        <v>1.5</v>
      </c>
      <c r="F18" s="56">
        <v>183</v>
      </c>
      <c r="G18" s="57">
        <v>1.5</v>
      </c>
      <c r="H18" s="56">
        <v>115</v>
      </c>
      <c r="I18" s="57">
        <v>1.5</v>
      </c>
      <c r="J18" s="56">
        <v>402</v>
      </c>
      <c r="K18" s="58"/>
      <c r="L18" s="59"/>
    </row>
    <row r="19" spans="2:12">
      <c r="B19" s="53"/>
      <c r="C19" s="53"/>
      <c r="D19" s="60" t="s">
        <v>396</v>
      </c>
      <c r="E19" s="57">
        <v>1</v>
      </c>
      <c r="F19" s="56">
        <v>178</v>
      </c>
      <c r="G19" s="57">
        <v>1</v>
      </c>
      <c r="H19" s="56">
        <v>182</v>
      </c>
      <c r="I19" s="57">
        <v>1</v>
      </c>
      <c r="J19" s="56">
        <v>187</v>
      </c>
      <c r="K19" s="58"/>
      <c r="L19" s="59"/>
    </row>
    <row r="20" spans="2:12">
      <c r="B20" s="53"/>
      <c r="C20" s="53"/>
      <c r="D20" s="60" t="s">
        <v>397</v>
      </c>
      <c r="E20" s="57">
        <v>2</v>
      </c>
      <c r="F20" s="56">
        <v>297</v>
      </c>
      <c r="G20" s="57">
        <v>2</v>
      </c>
      <c r="H20" s="56">
        <v>307</v>
      </c>
      <c r="I20" s="57">
        <v>2</v>
      </c>
      <c r="J20" s="56">
        <v>315</v>
      </c>
      <c r="K20" s="58"/>
      <c r="L20" s="59"/>
    </row>
    <row r="21" spans="2:12" s="40" customFormat="1">
      <c r="B21" s="61"/>
      <c r="C21" s="61" t="s">
        <v>398</v>
      </c>
      <c r="D21" s="62"/>
      <c r="E21" s="64">
        <f t="shared" ref="E21:J21" si="2">SUM(E16:E20)</f>
        <v>8.5</v>
      </c>
      <c r="F21" s="63">
        <f t="shared" si="2"/>
        <v>1429</v>
      </c>
      <c r="G21" s="64">
        <f t="shared" si="2"/>
        <v>8.5</v>
      </c>
      <c r="H21" s="63">
        <f t="shared" si="2"/>
        <v>1294</v>
      </c>
      <c r="I21" s="64">
        <f t="shared" si="2"/>
        <v>8.5</v>
      </c>
      <c r="J21" s="63">
        <f t="shared" si="2"/>
        <v>1668</v>
      </c>
      <c r="K21" s="46"/>
      <c r="L21" s="59"/>
    </row>
    <row r="22" spans="2:12">
      <c r="B22" s="67"/>
      <c r="C22" s="68" t="s">
        <v>399</v>
      </c>
      <c r="D22" s="62"/>
      <c r="E22" s="64">
        <f t="shared" ref="E22:J22" si="3">E21+E14+E8</f>
        <v>15.25</v>
      </c>
      <c r="F22" s="69">
        <f t="shared" si="3"/>
        <v>2989</v>
      </c>
      <c r="G22" s="70">
        <f t="shared" si="3"/>
        <v>15</v>
      </c>
      <c r="H22" s="69">
        <f t="shared" si="3"/>
        <v>2816</v>
      </c>
      <c r="I22" s="64">
        <f t="shared" si="3"/>
        <v>14</v>
      </c>
      <c r="J22" s="69">
        <f t="shared" si="3"/>
        <v>3172</v>
      </c>
      <c r="K22" s="58"/>
      <c r="L22" s="59"/>
    </row>
    <row r="23" spans="2:12">
      <c r="B23" s="53">
        <v>7</v>
      </c>
      <c r="C23" s="54" t="s">
        <v>400</v>
      </c>
      <c r="D23" s="55"/>
      <c r="E23" s="57"/>
      <c r="F23" s="56"/>
      <c r="G23" s="57"/>
      <c r="H23" s="56"/>
      <c r="I23" s="57"/>
      <c r="J23" s="56"/>
      <c r="K23" s="58"/>
      <c r="L23" s="59"/>
    </row>
    <row r="24" spans="2:12">
      <c r="B24" s="53">
        <v>71</v>
      </c>
      <c r="C24" s="53" t="s">
        <v>367</v>
      </c>
      <c r="D24" s="60"/>
      <c r="E24" s="57"/>
      <c r="F24" s="56"/>
      <c r="G24" s="57"/>
      <c r="H24" s="56"/>
      <c r="I24" s="57"/>
      <c r="J24" s="56"/>
      <c r="K24" s="58"/>
      <c r="L24" s="59"/>
    </row>
    <row r="25" spans="2:12">
      <c r="B25" s="53"/>
      <c r="C25" s="53"/>
      <c r="D25" s="60" t="s">
        <v>401</v>
      </c>
      <c r="E25" s="57">
        <v>4</v>
      </c>
      <c r="F25" s="56">
        <v>450</v>
      </c>
      <c r="G25" s="57">
        <v>4</v>
      </c>
      <c r="H25" s="56">
        <v>469</v>
      </c>
      <c r="I25" s="57">
        <v>3.5</v>
      </c>
      <c r="J25" s="56">
        <v>497</v>
      </c>
      <c r="K25" s="58" t="s">
        <v>493</v>
      </c>
      <c r="L25" s="59" t="s">
        <v>472</v>
      </c>
    </row>
    <row r="26" spans="2:12">
      <c r="B26" s="53"/>
      <c r="C26" s="53"/>
      <c r="D26" s="60" t="s">
        <v>402</v>
      </c>
      <c r="E26" s="57">
        <v>0.5</v>
      </c>
      <c r="F26" s="56">
        <v>82</v>
      </c>
      <c r="G26" s="57">
        <v>0.5</v>
      </c>
      <c r="H26" s="56">
        <v>84</v>
      </c>
      <c r="I26" s="57">
        <v>0.5</v>
      </c>
      <c r="J26" s="56">
        <v>86</v>
      </c>
      <c r="K26" s="58"/>
      <c r="L26" s="59"/>
    </row>
    <row r="27" spans="2:12">
      <c r="B27" s="53"/>
      <c r="C27" s="53"/>
      <c r="D27" s="60" t="s">
        <v>403</v>
      </c>
      <c r="E27" s="57">
        <v>0.2</v>
      </c>
      <c r="F27" s="56">
        <v>85</v>
      </c>
      <c r="G27" s="57">
        <v>0.2</v>
      </c>
      <c r="H27" s="56">
        <v>89</v>
      </c>
      <c r="I27" s="57">
        <v>0.2</v>
      </c>
      <c r="J27" s="56">
        <v>92</v>
      </c>
      <c r="K27" s="58"/>
      <c r="L27" s="59"/>
    </row>
    <row r="28" spans="2:12" s="40" customFormat="1">
      <c r="B28" s="61"/>
      <c r="C28" s="61" t="s">
        <v>404</v>
      </c>
      <c r="D28" s="62"/>
      <c r="E28" s="64">
        <f t="shared" ref="E28:J28" si="4">SUM(E25:E27)</f>
        <v>4.7</v>
      </c>
      <c r="F28" s="63">
        <f t="shared" si="4"/>
        <v>617</v>
      </c>
      <c r="G28" s="64">
        <f t="shared" si="4"/>
        <v>4.7</v>
      </c>
      <c r="H28" s="63">
        <f t="shared" si="4"/>
        <v>642</v>
      </c>
      <c r="I28" s="64">
        <f t="shared" si="4"/>
        <v>4.2</v>
      </c>
      <c r="J28" s="63">
        <f t="shared" si="4"/>
        <v>675</v>
      </c>
      <c r="K28" s="46"/>
      <c r="L28" s="59"/>
    </row>
    <row r="29" spans="2:12">
      <c r="B29" s="53">
        <v>72</v>
      </c>
      <c r="C29" s="53" t="s">
        <v>405</v>
      </c>
      <c r="D29" s="60"/>
      <c r="E29" s="57"/>
      <c r="F29" s="56"/>
      <c r="G29" s="57"/>
      <c r="H29" s="56"/>
      <c r="I29" s="57"/>
      <c r="J29" s="56"/>
      <c r="K29" s="58"/>
      <c r="L29" s="59"/>
    </row>
    <row r="30" spans="2:12">
      <c r="B30" s="53"/>
      <c r="C30" s="53"/>
      <c r="D30" s="60" t="s">
        <v>406</v>
      </c>
      <c r="E30" s="57">
        <v>0.8</v>
      </c>
      <c r="F30" s="56">
        <v>275</v>
      </c>
      <c r="G30" s="57">
        <v>0.8</v>
      </c>
      <c r="H30" s="56">
        <v>270</v>
      </c>
      <c r="I30" s="57">
        <v>0.8</v>
      </c>
      <c r="J30" s="56">
        <v>276</v>
      </c>
      <c r="K30" s="58"/>
      <c r="L30" s="59"/>
    </row>
    <row r="31" spans="2:12" s="40" customFormat="1">
      <c r="B31" s="61"/>
      <c r="C31" s="61" t="s">
        <v>407</v>
      </c>
      <c r="D31" s="62"/>
      <c r="E31" s="64">
        <f t="shared" ref="E31:J31" si="5">SUM(E30)</f>
        <v>0.8</v>
      </c>
      <c r="F31" s="63">
        <f t="shared" si="5"/>
        <v>275</v>
      </c>
      <c r="G31" s="64">
        <f t="shared" si="5"/>
        <v>0.8</v>
      </c>
      <c r="H31" s="63">
        <f t="shared" si="5"/>
        <v>270</v>
      </c>
      <c r="I31" s="64">
        <f t="shared" si="5"/>
        <v>0.8</v>
      </c>
      <c r="J31" s="63">
        <f t="shared" si="5"/>
        <v>276</v>
      </c>
      <c r="K31" s="46"/>
      <c r="L31" s="59"/>
    </row>
    <row r="32" spans="2:12">
      <c r="B32" s="53">
        <v>73</v>
      </c>
      <c r="C32" s="53" t="s">
        <v>408</v>
      </c>
      <c r="D32" s="60"/>
      <c r="E32" s="57"/>
      <c r="F32" s="56"/>
      <c r="G32" s="57"/>
      <c r="H32" s="56"/>
      <c r="I32" s="57"/>
      <c r="J32" s="56"/>
      <c r="K32" s="58"/>
      <c r="L32" s="59"/>
    </row>
    <row r="33" spans="2:12">
      <c r="B33" s="53"/>
      <c r="C33" s="53"/>
      <c r="D33" s="60" t="s">
        <v>409</v>
      </c>
      <c r="E33" s="57">
        <v>3</v>
      </c>
      <c r="F33" s="56">
        <v>723</v>
      </c>
      <c r="G33" s="57">
        <v>3</v>
      </c>
      <c r="H33" s="56">
        <v>742</v>
      </c>
      <c r="I33" s="57">
        <v>2.5</v>
      </c>
      <c r="J33" s="56">
        <v>761</v>
      </c>
      <c r="K33" s="58" t="s">
        <v>473</v>
      </c>
      <c r="L33" s="59" t="s">
        <v>474</v>
      </c>
    </row>
    <row r="34" spans="2:12" s="40" customFormat="1">
      <c r="B34" s="61"/>
      <c r="C34" s="61" t="s">
        <v>410</v>
      </c>
      <c r="D34" s="62"/>
      <c r="E34" s="64">
        <f t="shared" ref="E34:J34" si="6">SUM(E33)</f>
        <v>3</v>
      </c>
      <c r="F34" s="63">
        <f t="shared" si="6"/>
        <v>723</v>
      </c>
      <c r="G34" s="64">
        <f t="shared" si="6"/>
        <v>3</v>
      </c>
      <c r="H34" s="63">
        <f t="shared" si="6"/>
        <v>742</v>
      </c>
      <c r="I34" s="64">
        <f t="shared" si="6"/>
        <v>2.5</v>
      </c>
      <c r="J34" s="63">
        <f t="shared" si="6"/>
        <v>761</v>
      </c>
      <c r="K34" s="46"/>
      <c r="L34" s="59"/>
    </row>
    <row r="35" spans="2:12">
      <c r="B35" s="53">
        <v>74</v>
      </c>
      <c r="C35" s="53" t="s">
        <v>411</v>
      </c>
      <c r="D35" s="60" t="s">
        <v>412</v>
      </c>
      <c r="E35" s="57">
        <v>0</v>
      </c>
      <c r="F35" s="56">
        <v>0</v>
      </c>
      <c r="G35" s="57">
        <v>0</v>
      </c>
      <c r="H35" s="56">
        <v>0</v>
      </c>
      <c r="I35" s="57">
        <v>0.25</v>
      </c>
      <c r="J35" s="56">
        <v>23</v>
      </c>
      <c r="K35" s="58" t="s">
        <v>492</v>
      </c>
      <c r="L35" s="59" t="s">
        <v>475</v>
      </c>
    </row>
    <row r="36" spans="2:12">
      <c r="B36" s="53"/>
      <c r="C36" s="53" t="s">
        <v>413</v>
      </c>
      <c r="D36" s="60" t="s">
        <v>414</v>
      </c>
      <c r="E36" s="57">
        <v>0</v>
      </c>
      <c r="F36" s="56">
        <v>0</v>
      </c>
      <c r="G36" s="57">
        <v>0</v>
      </c>
      <c r="H36" s="56">
        <v>0</v>
      </c>
      <c r="I36" s="57">
        <v>0.5</v>
      </c>
      <c r="J36" s="56">
        <v>60</v>
      </c>
      <c r="K36" s="58" t="s">
        <v>491</v>
      </c>
      <c r="L36" s="59" t="s">
        <v>476</v>
      </c>
    </row>
    <row r="37" spans="2:12">
      <c r="B37" s="53"/>
      <c r="C37" s="61" t="s">
        <v>415</v>
      </c>
      <c r="D37" s="60"/>
      <c r="E37" s="64">
        <f>E35</f>
        <v>0</v>
      </c>
      <c r="F37" s="64">
        <f>F35</f>
        <v>0</v>
      </c>
      <c r="G37" s="64">
        <f>G35</f>
        <v>0</v>
      </c>
      <c r="H37" s="64">
        <f>H35</f>
        <v>0</v>
      </c>
      <c r="I37" s="64">
        <f>I35+I36</f>
        <v>0.75</v>
      </c>
      <c r="J37" s="64">
        <f>J35+J36</f>
        <v>83</v>
      </c>
      <c r="K37" s="58"/>
      <c r="L37" s="59"/>
    </row>
    <row r="38" spans="2:12">
      <c r="B38" s="53">
        <v>76</v>
      </c>
      <c r="C38" s="53" t="s">
        <v>416</v>
      </c>
      <c r="D38" s="60" t="s">
        <v>257</v>
      </c>
      <c r="E38" s="57">
        <v>0</v>
      </c>
      <c r="F38" s="56">
        <v>0</v>
      </c>
      <c r="G38" s="57">
        <v>0</v>
      </c>
      <c r="H38" s="56">
        <v>0</v>
      </c>
      <c r="I38" s="57">
        <v>3</v>
      </c>
      <c r="J38" s="56">
        <v>428</v>
      </c>
      <c r="K38" s="58"/>
      <c r="L38" s="59"/>
    </row>
    <row r="39" spans="2:12">
      <c r="B39" s="53"/>
      <c r="C39" s="61" t="s">
        <v>417</v>
      </c>
      <c r="D39" s="60"/>
      <c r="E39" s="64">
        <f t="shared" ref="E39:J39" si="7">E38</f>
        <v>0</v>
      </c>
      <c r="F39" s="64">
        <f t="shared" si="7"/>
        <v>0</v>
      </c>
      <c r="G39" s="64">
        <f t="shared" si="7"/>
        <v>0</v>
      </c>
      <c r="H39" s="64">
        <f t="shared" si="7"/>
        <v>0</v>
      </c>
      <c r="I39" s="64">
        <f t="shared" si="7"/>
        <v>3</v>
      </c>
      <c r="J39" s="64">
        <f t="shared" si="7"/>
        <v>428</v>
      </c>
      <c r="K39" s="58"/>
      <c r="L39" s="59"/>
    </row>
    <row r="40" spans="2:12">
      <c r="B40" s="53">
        <v>79</v>
      </c>
      <c r="C40" s="53" t="s">
        <v>418</v>
      </c>
      <c r="D40" s="60"/>
      <c r="E40" s="57"/>
      <c r="F40" s="56"/>
      <c r="G40" s="57"/>
      <c r="H40" s="56"/>
      <c r="I40" s="57"/>
      <c r="J40" s="56"/>
      <c r="K40" s="58"/>
      <c r="L40" s="59"/>
    </row>
    <row r="41" spans="2:12">
      <c r="B41" s="53"/>
      <c r="C41" s="53"/>
      <c r="D41" s="60" t="s">
        <v>419</v>
      </c>
      <c r="E41" s="57">
        <v>1</v>
      </c>
      <c r="F41" s="56">
        <v>151</v>
      </c>
      <c r="G41" s="57">
        <v>1</v>
      </c>
      <c r="H41" s="56">
        <v>21</v>
      </c>
      <c r="I41" s="57">
        <v>0</v>
      </c>
      <c r="J41" s="56">
        <v>0</v>
      </c>
      <c r="K41" s="58" t="s">
        <v>490</v>
      </c>
      <c r="L41" s="59" t="s">
        <v>477</v>
      </c>
    </row>
    <row r="42" spans="2:12" s="40" customFormat="1">
      <c r="B42" s="61"/>
      <c r="C42" s="61" t="s">
        <v>420</v>
      </c>
      <c r="D42" s="62"/>
      <c r="E42" s="64">
        <f t="shared" ref="E42:J42" si="8">SUM(E41)</f>
        <v>1</v>
      </c>
      <c r="F42" s="63">
        <f t="shared" si="8"/>
        <v>151</v>
      </c>
      <c r="G42" s="64">
        <f t="shared" si="8"/>
        <v>1</v>
      </c>
      <c r="H42" s="63">
        <f t="shared" si="8"/>
        <v>21</v>
      </c>
      <c r="I42" s="64">
        <f t="shared" si="8"/>
        <v>0</v>
      </c>
      <c r="J42" s="63">
        <f t="shared" si="8"/>
        <v>0</v>
      </c>
      <c r="K42" s="65"/>
      <c r="L42" s="59"/>
    </row>
    <row r="43" spans="2:12" s="40" customFormat="1">
      <c r="B43" s="68"/>
      <c r="C43" s="68" t="s">
        <v>421</v>
      </c>
      <c r="D43" s="62"/>
      <c r="E43" s="64">
        <f t="shared" ref="E43:J43" si="9">E42+E37+E39+E34+E31+E28</f>
        <v>9.5</v>
      </c>
      <c r="F43" s="70">
        <f t="shared" si="9"/>
        <v>1766</v>
      </c>
      <c r="G43" s="70">
        <f t="shared" si="9"/>
        <v>9.5</v>
      </c>
      <c r="H43" s="70">
        <f t="shared" si="9"/>
        <v>1675</v>
      </c>
      <c r="I43" s="64">
        <f t="shared" si="9"/>
        <v>11.25</v>
      </c>
      <c r="J43" s="70">
        <f t="shared" si="9"/>
        <v>2223</v>
      </c>
      <c r="K43" s="71"/>
      <c r="L43" s="59"/>
    </row>
    <row r="44" spans="2:12">
      <c r="B44" s="53">
        <v>8</v>
      </c>
      <c r="C44" s="54" t="s">
        <v>422</v>
      </c>
      <c r="D44" s="55"/>
      <c r="E44" s="57"/>
      <c r="F44" s="56"/>
      <c r="G44" s="57"/>
      <c r="H44" s="56"/>
      <c r="I44" s="57"/>
      <c r="J44" s="56"/>
      <c r="K44" s="58"/>
      <c r="L44" s="59"/>
    </row>
    <row r="45" spans="2:12">
      <c r="B45" s="53">
        <v>81</v>
      </c>
      <c r="C45" s="53" t="s">
        <v>423</v>
      </c>
      <c r="D45" s="60"/>
      <c r="E45" s="57"/>
      <c r="F45" s="56"/>
      <c r="G45" s="57"/>
      <c r="H45" s="56"/>
      <c r="I45" s="57"/>
      <c r="J45" s="56"/>
      <c r="K45" s="58"/>
      <c r="L45" s="59"/>
    </row>
    <row r="46" spans="2:12">
      <c r="B46" s="53"/>
      <c r="C46" s="53"/>
      <c r="D46" s="60" t="s">
        <v>424</v>
      </c>
      <c r="E46" s="57">
        <v>1.5</v>
      </c>
      <c r="F46" s="56">
        <v>385</v>
      </c>
      <c r="G46" s="57">
        <v>1.5</v>
      </c>
      <c r="H46" s="56">
        <v>387</v>
      </c>
      <c r="I46" s="57">
        <v>1.75</v>
      </c>
      <c r="J46" s="56">
        <v>460</v>
      </c>
      <c r="K46" s="58" t="s">
        <v>478</v>
      </c>
      <c r="L46" s="59" t="s">
        <v>479</v>
      </c>
    </row>
    <row r="47" spans="2:12">
      <c r="B47" s="53"/>
      <c r="C47" s="53"/>
      <c r="D47" s="60" t="s">
        <v>425</v>
      </c>
      <c r="E47" s="57">
        <v>5.5</v>
      </c>
      <c r="F47" s="56">
        <v>936</v>
      </c>
      <c r="G47" s="57">
        <v>5.5</v>
      </c>
      <c r="H47" s="56">
        <v>692</v>
      </c>
      <c r="I47" s="57">
        <v>5</v>
      </c>
      <c r="J47" s="56">
        <v>710</v>
      </c>
      <c r="K47" s="58"/>
      <c r="L47" s="59"/>
    </row>
    <row r="48" spans="2:12">
      <c r="B48" s="53"/>
      <c r="C48" s="53"/>
      <c r="D48" s="60" t="s">
        <v>426</v>
      </c>
      <c r="E48" s="87">
        <v>8</v>
      </c>
      <c r="F48" s="72">
        <v>840</v>
      </c>
      <c r="G48" s="73">
        <v>9</v>
      </c>
      <c r="H48" s="72">
        <v>1046</v>
      </c>
      <c r="I48" s="87">
        <v>8</v>
      </c>
      <c r="J48" s="72">
        <v>965</v>
      </c>
      <c r="K48" s="58"/>
      <c r="L48" s="59"/>
    </row>
    <row r="49" spans="2:12">
      <c r="B49" s="53"/>
      <c r="C49" s="53"/>
      <c r="D49" s="60" t="s">
        <v>427</v>
      </c>
      <c r="E49" s="57">
        <v>1</v>
      </c>
      <c r="F49" s="56">
        <v>120</v>
      </c>
      <c r="G49" s="57">
        <v>1</v>
      </c>
      <c r="H49" s="56">
        <v>96</v>
      </c>
      <c r="I49" s="57">
        <v>1</v>
      </c>
      <c r="J49" s="56">
        <v>167</v>
      </c>
      <c r="K49" s="58"/>
      <c r="L49" s="59"/>
    </row>
    <row r="50" spans="2:12">
      <c r="B50" s="53"/>
      <c r="C50" s="53"/>
      <c r="D50" s="60" t="s">
        <v>428</v>
      </c>
      <c r="E50" s="57">
        <v>11.2</v>
      </c>
      <c r="F50" s="56">
        <v>1387</v>
      </c>
      <c r="G50" s="57">
        <v>11.2</v>
      </c>
      <c r="H50" s="56">
        <v>1392</v>
      </c>
      <c r="I50" s="57">
        <v>11.2</v>
      </c>
      <c r="J50" s="56">
        <v>1426</v>
      </c>
      <c r="K50" s="58"/>
      <c r="L50" s="59"/>
    </row>
    <row r="51" spans="2:12">
      <c r="B51" s="53"/>
      <c r="C51" s="53"/>
      <c r="D51" s="60" t="s">
        <v>429</v>
      </c>
      <c r="E51" s="57">
        <v>0</v>
      </c>
      <c r="F51" s="56">
        <v>0</v>
      </c>
      <c r="G51" s="57">
        <v>0</v>
      </c>
      <c r="H51" s="56">
        <v>18</v>
      </c>
      <c r="I51" s="57">
        <v>0</v>
      </c>
      <c r="J51" s="56">
        <v>15</v>
      </c>
      <c r="K51" s="58"/>
      <c r="L51" s="59"/>
    </row>
    <row r="52" spans="2:12">
      <c r="B52" s="53"/>
      <c r="C52" s="53"/>
      <c r="D52" s="60" t="s">
        <v>430</v>
      </c>
      <c r="E52" s="57">
        <v>8.4499999999999993</v>
      </c>
      <c r="F52" s="56">
        <v>909</v>
      </c>
      <c r="G52" s="57">
        <v>8.4499999999999993</v>
      </c>
      <c r="H52" s="56">
        <v>962</v>
      </c>
      <c r="I52" s="57">
        <v>10</v>
      </c>
      <c r="J52" s="56">
        <f>1010+120</f>
        <v>1130</v>
      </c>
      <c r="K52" s="58" t="s">
        <v>483</v>
      </c>
      <c r="L52" s="59" t="s">
        <v>481</v>
      </c>
    </row>
    <row r="53" spans="2:12">
      <c r="B53" s="53"/>
      <c r="C53" s="53"/>
      <c r="D53" s="60" t="s">
        <v>287</v>
      </c>
      <c r="E53" s="57">
        <v>0</v>
      </c>
      <c r="F53" s="56">
        <v>25</v>
      </c>
      <c r="G53" s="57">
        <v>0</v>
      </c>
      <c r="H53" s="56">
        <v>23</v>
      </c>
      <c r="I53" s="57">
        <v>0</v>
      </c>
      <c r="J53" s="56">
        <v>47</v>
      </c>
      <c r="K53" s="58"/>
      <c r="L53" s="59"/>
    </row>
    <row r="54" spans="2:12">
      <c r="B54" s="53"/>
      <c r="C54" s="53"/>
      <c r="D54" s="60" t="s">
        <v>431</v>
      </c>
      <c r="E54" s="57">
        <v>34.71</v>
      </c>
      <c r="F54" s="56">
        <v>7800</v>
      </c>
      <c r="G54" s="57">
        <v>34.71</v>
      </c>
      <c r="H54" s="56">
        <v>7667</v>
      </c>
      <c r="I54" s="57">
        <v>34.51</v>
      </c>
      <c r="J54" s="56">
        <v>7839</v>
      </c>
      <c r="K54" s="58"/>
      <c r="L54" s="59"/>
    </row>
    <row r="55" spans="2:12">
      <c r="B55" s="53"/>
      <c r="C55" s="53"/>
      <c r="D55" s="60" t="s">
        <v>432</v>
      </c>
      <c r="E55" s="57">
        <v>7.9</v>
      </c>
      <c r="F55" s="56">
        <v>924</v>
      </c>
      <c r="G55" s="57">
        <v>7.9</v>
      </c>
      <c r="H55" s="56">
        <v>911</v>
      </c>
      <c r="I55" s="57">
        <v>8.06</v>
      </c>
      <c r="J55" s="56">
        <v>944</v>
      </c>
      <c r="K55" s="58"/>
      <c r="L55" s="59"/>
    </row>
    <row r="56" spans="2:12">
      <c r="B56" s="53"/>
      <c r="C56" s="53"/>
      <c r="D56" s="60" t="s">
        <v>433</v>
      </c>
      <c r="E56" s="87">
        <v>2.5</v>
      </c>
      <c r="F56" s="72">
        <v>440</v>
      </c>
      <c r="G56" s="73">
        <v>2.5</v>
      </c>
      <c r="H56" s="72">
        <v>488</v>
      </c>
      <c r="I56" s="87">
        <v>2.5</v>
      </c>
      <c r="J56" s="72">
        <v>500</v>
      </c>
      <c r="K56" s="58"/>
      <c r="L56" s="59"/>
    </row>
    <row r="57" spans="2:12">
      <c r="B57" s="53"/>
      <c r="C57" s="53"/>
      <c r="D57" s="60" t="s">
        <v>434</v>
      </c>
      <c r="E57" s="57">
        <v>4</v>
      </c>
      <c r="F57" s="72">
        <v>685</v>
      </c>
      <c r="G57" s="73">
        <v>4</v>
      </c>
      <c r="H57" s="72">
        <v>832</v>
      </c>
      <c r="I57" s="57">
        <v>7.17</v>
      </c>
      <c r="J57" s="72">
        <v>910</v>
      </c>
      <c r="K57" s="58" t="s">
        <v>480</v>
      </c>
      <c r="L57" s="59" t="s">
        <v>482</v>
      </c>
    </row>
    <row r="58" spans="2:12">
      <c r="B58" s="53"/>
      <c r="C58" s="53"/>
      <c r="D58" s="60" t="s">
        <v>435</v>
      </c>
      <c r="E58" s="57">
        <v>1</v>
      </c>
      <c r="F58" s="56">
        <v>206</v>
      </c>
      <c r="G58" s="57">
        <v>1</v>
      </c>
      <c r="H58" s="56">
        <v>211</v>
      </c>
      <c r="I58" s="57">
        <v>1</v>
      </c>
      <c r="J58" s="56">
        <v>216</v>
      </c>
      <c r="K58" s="58"/>
      <c r="L58" s="59"/>
    </row>
    <row r="59" spans="2:12">
      <c r="B59" s="53"/>
      <c r="C59" s="53"/>
      <c r="D59" s="60" t="s">
        <v>436</v>
      </c>
      <c r="E59" s="57">
        <v>0</v>
      </c>
      <c r="F59" s="56">
        <v>20</v>
      </c>
      <c r="G59" s="57">
        <v>0</v>
      </c>
      <c r="H59" s="56">
        <v>12</v>
      </c>
      <c r="I59" s="57">
        <v>0</v>
      </c>
      <c r="J59" s="56">
        <v>20</v>
      </c>
      <c r="K59" s="58"/>
      <c r="L59" s="59"/>
    </row>
    <row r="60" spans="2:12">
      <c r="B60" s="53"/>
      <c r="C60" s="53"/>
      <c r="D60" s="60" t="s">
        <v>437</v>
      </c>
      <c r="E60" s="57">
        <v>3.4</v>
      </c>
      <c r="F60" s="56">
        <v>404</v>
      </c>
      <c r="G60" s="57">
        <v>3.4</v>
      </c>
      <c r="H60" s="56">
        <v>387</v>
      </c>
      <c r="I60" s="57">
        <v>2.9</v>
      </c>
      <c r="J60" s="56">
        <v>320</v>
      </c>
      <c r="K60" s="58" t="s">
        <v>484</v>
      </c>
      <c r="L60" s="59" t="s">
        <v>485</v>
      </c>
    </row>
    <row r="61" spans="2:12" s="40" customFormat="1">
      <c r="B61" s="61"/>
      <c r="C61" s="61" t="s">
        <v>438</v>
      </c>
      <c r="D61" s="62"/>
      <c r="E61" s="64">
        <f>SUM(E46:E60)</f>
        <v>89.160000000000011</v>
      </c>
      <c r="F61" s="63">
        <f>SUM(F46:F60)</f>
        <v>15081</v>
      </c>
      <c r="G61" s="64">
        <v>91</v>
      </c>
      <c r="H61" s="63">
        <f>SUM(H46:H60)</f>
        <v>15124</v>
      </c>
      <c r="I61" s="64">
        <f>SUM(I46:I60)</f>
        <v>93.090000000000018</v>
      </c>
      <c r="J61" s="63">
        <f>SUM(J46:J60)</f>
        <v>15669</v>
      </c>
      <c r="K61" s="46"/>
      <c r="L61" s="59"/>
    </row>
    <row r="62" spans="2:12">
      <c r="B62" s="53"/>
      <c r="C62" s="53"/>
      <c r="D62" s="60"/>
      <c r="E62" s="57"/>
      <c r="F62" s="56"/>
      <c r="G62" s="57"/>
      <c r="H62" s="56"/>
      <c r="I62" s="57"/>
      <c r="J62" s="56"/>
      <c r="K62" s="58"/>
      <c r="L62" s="59"/>
    </row>
    <row r="63" spans="2:12">
      <c r="B63" s="53">
        <v>82</v>
      </c>
      <c r="C63" s="53" t="s">
        <v>439</v>
      </c>
      <c r="D63" s="60"/>
      <c r="E63" s="57"/>
      <c r="F63" s="56"/>
      <c r="G63" s="57"/>
      <c r="H63" s="56"/>
      <c r="I63" s="57"/>
      <c r="J63" s="56"/>
      <c r="K63" s="58"/>
      <c r="L63" s="59"/>
    </row>
    <row r="64" spans="2:12">
      <c r="B64" s="53"/>
      <c r="C64" s="53"/>
      <c r="D64" s="60" t="s">
        <v>440</v>
      </c>
      <c r="E64" s="57">
        <v>1</v>
      </c>
      <c r="F64" s="56">
        <v>143</v>
      </c>
      <c r="G64" s="57">
        <v>1</v>
      </c>
      <c r="H64" s="56">
        <v>156</v>
      </c>
      <c r="I64" s="57">
        <v>1</v>
      </c>
      <c r="J64" s="56">
        <v>160</v>
      </c>
      <c r="K64" s="58"/>
      <c r="L64" s="59"/>
    </row>
    <row r="65" spans="2:12">
      <c r="B65" s="53"/>
      <c r="C65" s="53"/>
      <c r="D65" s="60" t="s">
        <v>441</v>
      </c>
      <c r="E65" s="57">
        <v>1</v>
      </c>
      <c r="F65" s="56">
        <v>142</v>
      </c>
      <c r="G65" s="57">
        <v>1</v>
      </c>
      <c r="H65" s="56">
        <v>154</v>
      </c>
      <c r="I65" s="57">
        <v>1</v>
      </c>
      <c r="J65" s="56">
        <v>110</v>
      </c>
      <c r="K65" s="58"/>
      <c r="L65" s="59"/>
    </row>
    <row r="66" spans="2:12">
      <c r="B66" s="53"/>
      <c r="C66" s="53"/>
      <c r="D66" s="60" t="s">
        <v>442</v>
      </c>
      <c r="E66" s="57">
        <v>0</v>
      </c>
      <c r="F66" s="56">
        <v>0</v>
      </c>
      <c r="G66" s="57">
        <v>0</v>
      </c>
      <c r="H66" s="56">
        <v>0</v>
      </c>
      <c r="I66" s="57">
        <v>0</v>
      </c>
      <c r="J66" s="56">
        <v>0</v>
      </c>
      <c r="K66" s="58"/>
      <c r="L66" s="59"/>
    </row>
    <row r="67" spans="2:12">
      <c r="B67" s="53"/>
      <c r="C67" s="53"/>
      <c r="D67" s="60" t="s">
        <v>443</v>
      </c>
      <c r="E67" s="57">
        <v>0.5</v>
      </c>
      <c r="F67" s="56">
        <v>135</v>
      </c>
      <c r="G67" s="57">
        <v>0.5</v>
      </c>
      <c r="H67" s="56">
        <v>151</v>
      </c>
      <c r="I67" s="57">
        <v>0.5</v>
      </c>
      <c r="J67" s="56">
        <f>250-120</f>
        <v>130</v>
      </c>
      <c r="K67" s="58"/>
      <c r="L67" s="59"/>
    </row>
    <row r="68" spans="2:12" s="40" customFormat="1">
      <c r="B68" s="61"/>
      <c r="C68" s="61" t="s">
        <v>444</v>
      </c>
      <c r="D68" s="62"/>
      <c r="E68" s="64">
        <f t="shared" ref="E68:J68" si="10">SUM(E64:E67)</f>
        <v>2.5</v>
      </c>
      <c r="F68" s="63">
        <f t="shared" si="10"/>
        <v>420</v>
      </c>
      <c r="G68" s="64">
        <f t="shared" si="10"/>
        <v>2.5</v>
      </c>
      <c r="H68" s="63">
        <f t="shared" si="10"/>
        <v>461</v>
      </c>
      <c r="I68" s="64">
        <f t="shared" si="10"/>
        <v>2.5</v>
      </c>
      <c r="J68" s="63">
        <f t="shared" si="10"/>
        <v>400</v>
      </c>
      <c r="K68" s="46"/>
      <c r="L68" s="59"/>
    </row>
    <row r="69" spans="2:12">
      <c r="B69" s="53">
        <v>83</v>
      </c>
      <c r="C69" s="53" t="s">
        <v>445</v>
      </c>
      <c r="D69" s="60"/>
      <c r="E69" s="57"/>
      <c r="F69" s="56"/>
      <c r="G69" s="57"/>
      <c r="H69" s="56"/>
      <c r="I69" s="57"/>
      <c r="J69" s="56"/>
      <c r="K69" s="58"/>
      <c r="L69" s="59"/>
    </row>
    <row r="70" spans="2:12">
      <c r="B70" s="53"/>
      <c r="C70" s="53"/>
      <c r="D70" s="60" t="s">
        <v>446</v>
      </c>
      <c r="E70" s="57">
        <v>1.4</v>
      </c>
      <c r="F70" s="56">
        <v>189</v>
      </c>
      <c r="G70" s="57">
        <v>1.5</v>
      </c>
      <c r="H70" s="56">
        <v>207</v>
      </c>
      <c r="I70" s="57">
        <v>1.4</v>
      </c>
      <c r="J70" s="56">
        <v>213</v>
      </c>
      <c r="K70" s="58"/>
      <c r="L70" s="59"/>
    </row>
    <row r="71" spans="2:12" s="40" customFormat="1">
      <c r="B71" s="61"/>
      <c r="C71" s="61" t="s">
        <v>447</v>
      </c>
      <c r="D71" s="62"/>
      <c r="E71" s="64">
        <f t="shared" ref="E71:J71" si="11">SUM(E70)</f>
        <v>1.4</v>
      </c>
      <c r="F71" s="63">
        <f t="shared" si="11"/>
        <v>189</v>
      </c>
      <c r="G71" s="64">
        <f t="shared" si="11"/>
        <v>1.5</v>
      </c>
      <c r="H71" s="63">
        <f t="shared" si="11"/>
        <v>207</v>
      </c>
      <c r="I71" s="64">
        <f t="shared" si="11"/>
        <v>1.4</v>
      </c>
      <c r="J71" s="63">
        <f t="shared" si="11"/>
        <v>213</v>
      </c>
      <c r="K71" s="46"/>
      <c r="L71" s="59"/>
    </row>
    <row r="72" spans="2:12">
      <c r="B72" s="53">
        <v>84</v>
      </c>
      <c r="C72" s="53" t="s">
        <v>448</v>
      </c>
      <c r="D72" s="60"/>
      <c r="E72" s="57"/>
      <c r="F72" s="56"/>
      <c r="G72" s="57"/>
      <c r="H72" s="56"/>
      <c r="I72" s="57"/>
      <c r="J72" s="56"/>
      <c r="K72" s="58"/>
      <c r="L72" s="59"/>
    </row>
    <row r="73" spans="2:12">
      <c r="B73" s="53"/>
      <c r="C73" s="53"/>
      <c r="D73" s="60" t="s">
        <v>449</v>
      </c>
      <c r="E73" s="87">
        <v>4.5</v>
      </c>
      <c r="F73" s="56">
        <v>1006</v>
      </c>
      <c r="G73" s="74">
        <v>4.5</v>
      </c>
      <c r="H73" s="56">
        <v>929</v>
      </c>
      <c r="I73" s="87">
        <f>5.22+1.75</f>
        <v>6.97</v>
      </c>
      <c r="J73" s="56">
        <v>1201</v>
      </c>
      <c r="K73" s="58" t="s">
        <v>486</v>
      </c>
      <c r="L73" s="59" t="s">
        <v>487</v>
      </c>
    </row>
    <row r="74" spans="2:12">
      <c r="B74" s="53"/>
      <c r="C74" s="53"/>
      <c r="D74" s="60" t="s">
        <v>450</v>
      </c>
      <c r="E74" s="87">
        <v>0.5</v>
      </c>
      <c r="F74" s="56">
        <v>70</v>
      </c>
      <c r="G74" s="74">
        <v>0.5</v>
      </c>
      <c r="H74" s="56">
        <v>71</v>
      </c>
      <c r="I74" s="87">
        <v>0.5</v>
      </c>
      <c r="J74" s="56">
        <v>73</v>
      </c>
      <c r="K74" s="58"/>
      <c r="L74" s="59"/>
    </row>
    <row r="75" spans="2:12">
      <c r="B75" s="53"/>
      <c r="C75" s="53"/>
      <c r="D75" s="75" t="s">
        <v>451</v>
      </c>
      <c r="E75" s="87">
        <v>1</v>
      </c>
      <c r="F75" s="56">
        <v>111</v>
      </c>
      <c r="G75" s="74">
        <v>1</v>
      </c>
      <c r="H75" s="56">
        <v>107</v>
      </c>
      <c r="I75" s="87">
        <v>1</v>
      </c>
      <c r="J75" s="56">
        <v>110</v>
      </c>
      <c r="K75" s="58"/>
      <c r="L75" s="59"/>
    </row>
    <row r="76" spans="2:12" s="40" customFormat="1">
      <c r="B76" s="61"/>
      <c r="C76" s="61" t="s">
        <v>452</v>
      </c>
      <c r="D76" s="62"/>
      <c r="E76" s="88">
        <f>SUM(E73:E75)</f>
        <v>6</v>
      </c>
      <c r="F76" s="63">
        <f>SUM(F73:F75)</f>
        <v>1187</v>
      </c>
      <c r="G76" s="76">
        <v>5</v>
      </c>
      <c r="H76" s="63">
        <f>SUM(H73:H75)</f>
        <v>1107</v>
      </c>
      <c r="I76" s="88">
        <f>SUM(I73:I75)</f>
        <v>8.4699999999999989</v>
      </c>
      <c r="J76" s="63">
        <f>SUM(J73:J75)</f>
        <v>1384</v>
      </c>
      <c r="K76" s="46"/>
      <c r="L76" s="59"/>
    </row>
    <row r="77" spans="2:12">
      <c r="B77" s="53">
        <v>85</v>
      </c>
      <c r="C77" s="53" t="s">
        <v>453</v>
      </c>
      <c r="D77" s="60"/>
      <c r="E77" s="57"/>
      <c r="F77" s="56"/>
      <c r="G77" s="57"/>
      <c r="H77" s="56"/>
      <c r="I77" s="57"/>
      <c r="J77" s="56"/>
      <c r="K77" s="58"/>
      <c r="L77" s="59"/>
    </row>
    <row r="78" spans="2:12">
      <c r="B78" s="53"/>
      <c r="C78" s="53"/>
      <c r="D78" s="60" t="s">
        <v>454</v>
      </c>
      <c r="E78" s="57">
        <v>0.5</v>
      </c>
      <c r="F78" s="56">
        <v>68</v>
      </c>
      <c r="G78" s="57">
        <v>0.5</v>
      </c>
      <c r="H78" s="56">
        <v>68</v>
      </c>
      <c r="I78" s="57">
        <v>0.5</v>
      </c>
      <c r="J78" s="56">
        <v>70</v>
      </c>
      <c r="K78" s="58"/>
      <c r="L78" s="59"/>
    </row>
    <row r="79" spans="2:12" s="40" customFormat="1">
      <c r="B79" s="61"/>
      <c r="C79" s="61" t="s">
        <v>455</v>
      </c>
      <c r="D79" s="62"/>
      <c r="E79" s="64">
        <f t="shared" ref="E79:J79" si="12">SUM(E78)</f>
        <v>0.5</v>
      </c>
      <c r="F79" s="63">
        <f t="shared" si="12"/>
        <v>68</v>
      </c>
      <c r="G79" s="64">
        <f t="shared" si="12"/>
        <v>0.5</v>
      </c>
      <c r="H79" s="63">
        <f t="shared" si="12"/>
        <v>68</v>
      </c>
      <c r="I79" s="64">
        <f t="shared" si="12"/>
        <v>0.5</v>
      </c>
      <c r="J79" s="63">
        <f t="shared" si="12"/>
        <v>70</v>
      </c>
      <c r="K79" s="46"/>
      <c r="L79" s="59"/>
    </row>
    <row r="80" spans="2:12">
      <c r="B80" s="53">
        <v>86</v>
      </c>
      <c r="C80" s="53" t="s">
        <v>456</v>
      </c>
      <c r="D80" s="60"/>
      <c r="E80" s="57"/>
      <c r="F80" s="56"/>
      <c r="G80" s="57"/>
      <c r="H80" s="56"/>
      <c r="I80" s="57"/>
      <c r="J80" s="56"/>
      <c r="K80" s="58"/>
      <c r="L80" s="59"/>
    </row>
    <row r="81" spans="2:13">
      <c r="B81" s="53">
        <v>87</v>
      </c>
      <c r="C81" s="53" t="s">
        <v>457</v>
      </c>
      <c r="D81" s="60"/>
      <c r="E81" s="57"/>
      <c r="F81" s="56"/>
      <c r="G81" s="57"/>
      <c r="H81" s="56"/>
      <c r="I81" s="57"/>
      <c r="J81" s="56"/>
      <c r="K81" s="58"/>
      <c r="L81" s="59"/>
    </row>
    <row r="82" spans="2:13" s="40" customFormat="1">
      <c r="B82" s="68"/>
      <c r="C82" s="68" t="s">
        <v>458</v>
      </c>
      <c r="D82" s="62"/>
      <c r="E82" s="64">
        <f t="shared" ref="E82:J82" si="13">E79+E76+E71+E68+E61</f>
        <v>99.560000000000016</v>
      </c>
      <c r="F82" s="77">
        <f t="shared" si="13"/>
        <v>16945</v>
      </c>
      <c r="G82" s="70">
        <f t="shared" si="13"/>
        <v>100.5</v>
      </c>
      <c r="H82" s="77">
        <f t="shared" si="13"/>
        <v>16967</v>
      </c>
      <c r="I82" s="64">
        <f t="shared" si="13"/>
        <v>105.96000000000002</v>
      </c>
      <c r="J82" s="77">
        <f t="shared" si="13"/>
        <v>17736</v>
      </c>
      <c r="K82" s="46"/>
      <c r="L82" s="59"/>
    </row>
    <row r="83" spans="2:13">
      <c r="B83" s="53">
        <v>9</v>
      </c>
      <c r="C83" s="54" t="s">
        <v>459</v>
      </c>
      <c r="D83" s="55"/>
      <c r="E83" s="57"/>
      <c r="F83" s="56"/>
      <c r="G83" s="57"/>
      <c r="H83" s="56"/>
      <c r="I83" s="57"/>
      <c r="J83" s="56"/>
      <c r="K83" s="58"/>
      <c r="L83" s="59"/>
    </row>
    <row r="84" spans="2:13">
      <c r="B84" s="53">
        <v>91</v>
      </c>
      <c r="C84" s="53" t="s">
        <v>460</v>
      </c>
      <c r="D84" s="60"/>
      <c r="E84" s="57"/>
      <c r="F84" s="56"/>
      <c r="G84" s="57"/>
      <c r="H84" s="56"/>
      <c r="I84" s="57"/>
      <c r="J84" s="56"/>
      <c r="K84" s="58"/>
      <c r="L84" s="59"/>
    </row>
    <row r="85" spans="2:13">
      <c r="B85" s="53"/>
      <c r="C85" s="53"/>
      <c r="D85" s="60" t="s">
        <v>461</v>
      </c>
      <c r="E85" s="57">
        <v>1</v>
      </c>
      <c r="F85" s="56">
        <v>0</v>
      </c>
      <c r="G85" s="57">
        <v>1</v>
      </c>
      <c r="H85" s="56">
        <v>0</v>
      </c>
      <c r="I85" s="57">
        <v>1</v>
      </c>
      <c r="J85" s="56">
        <v>0</v>
      </c>
      <c r="K85" s="58"/>
      <c r="L85" s="59"/>
    </row>
    <row r="86" spans="2:13" s="40" customFormat="1">
      <c r="B86" s="61"/>
      <c r="C86" s="61" t="s">
        <v>462</v>
      </c>
      <c r="D86" s="62"/>
      <c r="E86" s="64">
        <f t="shared" ref="E86:J86" si="14">SUM(E85)</f>
        <v>1</v>
      </c>
      <c r="F86" s="63">
        <f t="shared" si="14"/>
        <v>0</v>
      </c>
      <c r="G86" s="64">
        <f t="shared" si="14"/>
        <v>1</v>
      </c>
      <c r="H86" s="63">
        <f t="shared" si="14"/>
        <v>0</v>
      </c>
      <c r="I86" s="64">
        <f t="shared" si="14"/>
        <v>1</v>
      </c>
      <c r="J86" s="63">
        <f t="shared" si="14"/>
        <v>0</v>
      </c>
      <c r="K86" s="46"/>
      <c r="L86" s="59"/>
    </row>
    <row r="87" spans="2:13">
      <c r="B87" s="53">
        <v>92</v>
      </c>
      <c r="C87" s="53" t="s">
        <v>463</v>
      </c>
      <c r="D87" s="60"/>
      <c r="E87" s="57"/>
      <c r="F87" s="56"/>
      <c r="G87" s="57"/>
      <c r="H87" s="56"/>
      <c r="I87" s="57"/>
      <c r="J87" s="56"/>
      <c r="K87" s="58"/>
      <c r="L87" s="59"/>
    </row>
    <row r="88" spans="2:13">
      <c r="B88" s="53">
        <v>93</v>
      </c>
      <c r="C88" s="53" t="s">
        <v>464</v>
      </c>
      <c r="D88" s="60"/>
      <c r="E88" s="57"/>
      <c r="F88" s="56"/>
      <c r="G88" s="57"/>
      <c r="H88" s="56"/>
      <c r="I88" s="57"/>
      <c r="J88" s="56"/>
      <c r="K88" s="58"/>
      <c r="L88" s="59"/>
    </row>
    <row r="89" spans="2:13">
      <c r="B89" s="53">
        <v>97</v>
      </c>
      <c r="C89" s="53" t="s">
        <v>465</v>
      </c>
      <c r="D89" s="60"/>
      <c r="E89" s="57"/>
      <c r="F89" s="56"/>
      <c r="G89" s="57"/>
      <c r="H89" s="56"/>
      <c r="I89" s="57"/>
      <c r="J89" s="56"/>
      <c r="K89" s="58"/>
      <c r="L89" s="59"/>
    </row>
    <row r="90" spans="2:13" s="40" customFormat="1">
      <c r="B90" s="78"/>
      <c r="C90" s="79" t="s">
        <v>466</v>
      </c>
      <c r="D90" s="75"/>
      <c r="E90" s="87">
        <v>0</v>
      </c>
      <c r="F90" s="80">
        <f>F86</f>
        <v>0</v>
      </c>
      <c r="G90" s="74">
        <v>0</v>
      </c>
      <c r="H90" s="80">
        <f>H86</f>
        <v>0</v>
      </c>
      <c r="I90" s="87">
        <v>0</v>
      </c>
      <c r="J90" s="80">
        <f>J86</f>
        <v>0</v>
      </c>
      <c r="K90" s="46"/>
      <c r="L90" s="59"/>
    </row>
    <row r="91" spans="2:13" s="40" customFormat="1">
      <c r="B91" s="78"/>
      <c r="C91" s="75" t="s">
        <v>467</v>
      </c>
      <c r="D91" s="75"/>
      <c r="E91" s="87">
        <v>15.38</v>
      </c>
      <c r="F91" s="80">
        <v>2795</v>
      </c>
      <c r="G91" s="74">
        <f>15.38+1.17-0.59</f>
        <v>15.96</v>
      </c>
      <c r="H91" s="80">
        <v>3086</v>
      </c>
      <c r="I91" s="87">
        <v>15.96</v>
      </c>
      <c r="J91" s="80">
        <v>2958</v>
      </c>
      <c r="K91" s="81" t="s">
        <v>488</v>
      </c>
      <c r="L91" s="59" t="s">
        <v>489</v>
      </c>
      <c r="M91" s="82"/>
    </row>
    <row r="92" spans="2:13" s="40" customFormat="1">
      <c r="B92" s="68"/>
      <c r="C92" s="68" t="s">
        <v>468</v>
      </c>
      <c r="D92" s="62"/>
      <c r="E92" s="89">
        <f t="shared" ref="E92:J92" si="15">E22+E43+E82+E86+E91</f>
        <v>140.69000000000003</v>
      </c>
      <c r="F92" s="83">
        <f t="shared" si="15"/>
        <v>24495</v>
      </c>
      <c r="G92" s="83">
        <f t="shared" si="15"/>
        <v>141.96</v>
      </c>
      <c r="H92" s="83">
        <f t="shared" si="15"/>
        <v>24544</v>
      </c>
      <c r="I92" s="89">
        <f>I22+I43+I82+I86+I91-I86</f>
        <v>147.17000000000004</v>
      </c>
      <c r="J92" s="83">
        <f t="shared" si="15"/>
        <v>26089</v>
      </c>
      <c r="K92" s="46"/>
      <c r="L92" s="59"/>
    </row>
    <row r="93" spans="2:13">
      <c r="E93" s="90"/>
      <c r="F93" s="84"/>
      <c r="L93" s="86"/>
    </row>
  </sheetData>
  <mergeCells count="6">
    <mergeCell ref="I3:J3"/>
    <mergeCell ref="B1:H1"/>
    <mergeCell ref="B3:B4"/>
    <mergeCell ref="C3:C4"/>
    <mergeCell ref="E3:F3"/>
    <mergeCell ref="G3:H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הכנסות</vt:lpstr>
      <vt:lpstr>הוצאות</vt:lpstr>
      <vt:lpstr>טופס 4 תקן ומשרות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Fadi</dc:creator>
  <cp:lastModifiedBy>Admin</cp:lastModifiedBy>
  <cp:lastPrinted>2018-01-18T05:55:54Z</cp:lastPrinted>
  <dcterms:created xsi:type="dcterms:W3CDTF">2017-12-30T09:38:50Z</dcterms:created>
  <dcterms:modified xsi:type="dcterms:W3CDTF">2018-05-22T08:08:26Z</dcterms:modified>
</cp:coreProperties>
</file>