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of_carmel\חוקי עזר 2014\סלילה\סופיים\"/>
    </mc:Choice>
  </mc:AlternateContent>
  <bookViews>
    <workbookView xWindow="0" yWindow="0" windowWidth="28800" windowHeight="11850" activeTab="3"/>
  </bookViews>
  <sheets>
    <sheet name="שטחים לוורד" sheetId="17" r:id="rId1"/>
    <sheet name="עתלית 2014" sheetId="16" r:id="rId2"/>
    <sheet name="ריכוז עלויות" sheetId="6" r:id="rId3"/>
    <sheet name="תחשיב היטל - 1" sheetId="4" r:id="rId4"/>
    <sheet name="Sheet2" sheetId="2" r:id="rId5"/>
    <sheet name="Sheet3" sheetId="3" r:id="rId6"/>
  </sheets>
  <externalReferences>
    <externalReference r:id="rId7"/>
  </externalReference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Recover">[1]Macro1!$A$69</definedName>
    <definedName name="_xlnm.Print_Area" localSheetId="1">'עתלית 2014'!$A$1:$F$62</definedName>
    <definedName name="_xlnm.Print_Area" localSheetId="2">'ריכוז עלויות'!$A$1:$F$26</definedName>
    <definedName name="_xlnm.Print_Area" localSheetId="0">'שטחים לוורד'!$A$1:$F$58</definedName>
    <definedName name="אגרת_מגורים" localSheetId="0">#REF!</definedName>
    <definedName name="אגרת_מגורים">#REF!</definedName>
    <definedName name="אגרת_תעשיה" localSheetId="0">#REF!</definedName>
    <definedName name="אגרת_תעשיה">#REF!</definedName>
    <definedName name="גידול_אחזקה" localSheetId="0">#REF!</definedName>
    <definedName name="גידול_אחזקה">#REF!</definedName>
    <definedName name="היטל_בנוי" localSheetId="0">#REF!</definedName>
    <definedName name="היטל_בנוי">#REF!</definedName>
    <definedName name="היטל_קרקע" localSheetId="0">#REF!</definedName>
    <definedName name="היטל_קרקע">#REF!</definedName>
    <definedName name="חדש" localSheetId="0" hidden="1">#REF!</definedName>
    <definedName name="חדש" hidden="1">#REF!</definedName>
    <definedName name="ממוצע_לבית_אב" localSheetId="0">#REF!</definedName>
    <definedName name="ממוצע_לבית_אב">#REF!</definedName>
    <definedName name="ריבית_מנהלת" localSheetId="0">#REF!</definedName>
    <definedName name="ריבית_מנהלת">#REF!</definedName>
    <definedName name="ריבית_עסקית" localSheetId="0">#REF!</definedName>
    <definedName name="ריבית_עסקית">#REF!</definedName>
    <definedName name="שפכים_לתושב" localSheetId="0">#REF!</definedName>
    <definedName name="שפכים_לתושב">#REF!</definedName>
  </definedNames>
  <calcPr calcId="152511"/>
</workbook>
</file>

<file path=xl/calcChain.xml><?xml version="1.0" encoding="utf-8"?>
<calcChain xmlns="http://schemas.openxmlformats.org/spreadsheetml/2006/main">
  <c r="C23" i="4" l="1"/>
  <c r="B23" i="4"/>
  <c r="B13" i="4"/>
  <c r="C13" i="4" s="1"/>
  <c r="B20" i="4" l="1"/>
  <c r="C26" i="6" l="1"/>
  <c r="B26" i="6"/>
  <c r="D131" i="17"/>
  <c r="C131" i="17"/>
  <c r="B131" i="17"/>
  <c r="B130" i="17"/>
  <c r="B129" i="17"/>
  <c r="B128" i="17"/>
  <c r="B127" i="17"/>
  <c r="B126" i="17"/>
  <c r="B125" i="17"/>
  <c r="B124" i="17"/>
  <c r="B114" i="17"/>
  <c r="D113" i="17"/>
  <c r="D129" i="17" s="1"/>
  <c r="C113" i="17"/>
  <c r="C129" i="17" s="1"/>
  <c r="D112" i="17"/>
  <c r="C112" i="17"/>
  <c r="E102" i="17"/>
  <c r="B101" i="17"/>
  <c r="E100" i="17"/>
  <c r="E131" i="17" s="1"/>
  <c r="D99" i="17"/>
  <c r="D130" i="17" s="1"/>
  <c r="C99" i="17"/>
  <c r="C130" i="17" s="1"/>
  <c r="E98" i="17"/>
  <c r="D97" i="17"/>
  <c r="D128" i="17" s="1"/>
  <c r="C97" i="17"/>
  <c r="C128" i="17" s="1"/>
  <c r="D96" i="17"/>
  <c r="C96" i="17"/>
  <c r="D95" i="17"/>
  <c r="C95" i="17"/>
  <c r="D94" i="17"/>
  <c r="C94" i="17"/>
  <c r="D93" i="17"/>
  <c r="C93" i="17"/>
  <c r="C92" i="17"/>
  <c r="E82" i="17"/>
  <c r="B81" i="17"/>
  <c r="D80" i="17"/>
  <c r="C80" i="17"/>
  <c r="C81" i="17" s="1"/>
  <c r="E71" i="17"/>
  <c r="B70" i="17"/>
  <c r="D69" i="17"/>
  <c r="C69" i="17"/>
  <c r="D68" i="17"/>
  <c r="C68" i="17"/>
  <c r="D67" i="17"/>
  <c r="C67" i="17"/>
  <c r="B55" i="17"/>
  <c r="D54" i="17"/>
  <c r="D127" i="17" s="1"/>
  <c r="C54" i="17"/>
  <c r="D53" i="17"/>
  <c r="C53" i="17"/>
  <c r="B41" i="17"/>
  <c r="D40" i="17"/>
  <c r="D41" i="17" s="1"/>
  <c r="C40" i="17"/>
  <c r="B29" i="17"/>
  <c r="D28" i="17"/>
  <c r="D126" i="17" s="1"/>
  <c r="C28" i="17"/>
  <c r="C126" i="17" s="1"/>
  <c r="D27" i="17"/>
  <c r="D125" i="17" s="1"/>
  <c r="C27" i="17"/>
  <c r="C125" i="17" s="1"/>
  <c r="B14" i="17"/>
  <c r="D13" i="17"/>
  <c r="D14" i="17" s="1"/>
  <c r="C13" i="17"/>
  <c r="C14" i="17" s="1"/>
  <c r="E112" i="17" l="1"/>
  <c r="D55" i="17"/>
  <c r="C70" i="17"/>
  <c r="E93" i="17"/>
  <c r="C55" i="17"/>
  <c r="E95" i="17"/>
  <c r="B134" i="17"/>
  <c r="E27" i="17"/>
  <c r="E125" i="17" s="1"/>
  <c r="F125" i="17" s="1"/>
  <c r="E40" i="17"/>
  <c r="E41" i="17" s="1"/>
  <c r="E94" i="17"/>
  <c r="E96" i="17"/>
  <c r="E54" i="17"/>
  <c r="E127" i="17" s="1"/>
  <c r="F127" i="17" s="1"/>
  <c r="E68" i="17"/>
  <c r="C127" i="17"/>
  <c r="E28" i="17"/>
  <c r="E126" i="17" s="1"/>
  <c r="F126" i="17" s="1"/>
  <c r="D70" i="17"/>
  <c r="E80" i="17"/>
  <c r="E81" i="17" s="1"/>
  <c r="D114" i="17"/>
  <c r="B132" i="17"/>
  <c r="E29" i="17"/>
  <c r="D81" i="17"/>
  <c r="C114" i="17"/>
  <c r="E13" i="17"/>
  <c r="C29" i="17"/>
  <c r="E53" i="17"/>
  <c r="E69" i="17"/>
  <c r="D92" i="17"/>
  <c r="D101" i="17" s="1"/>
  <c r="E97" i="17"/>
  <c r="E128" i="17" s="1"/>
  <c r="F128" i="17" s="1"/>
  <c r="E99" i="17"/>
  <c r="E130" i="17" s="1"/>
  <c r="F130" i="17" s="1"/>
  <c r="C124" i="17"/>
  <c r="C41" i="17"/>
  <c r="C101" i="17"/>
  <c r="D29" i="17"/>
  <c r="E113" i="17"/>
  <c r="E129" i="17" s="1"/>
  <c r="F129" i="17" s="1"/>
  <c r="E67" i="17"/>
  <c r="D124" i="17" l="1"/>
  <c r="D132" i="17" s="1"/>
  <c r="E55" i="17"/>
  <c r="C132" i="17"/>
  <c r="E92" i="17"/>
  <c r="E101" i="17" s="1"/>
  <c r="E114" i="17"/>
  <c r="E70" i="17"/>
  <c r="E14" i="17"/>
  <c r="E124" i="17" l="1"/>
  <c r="E132" i="17" s="1"/>
  <c r="F124" i="17" l="1"/>
  <c r="F132" i="17" s="1"/>
  <c r="B24" i="6"/>
  <c r="B10" i="6"/>
  <c r="B17" i="6"/>
  <c r="B18" i="6" s="1"/>
  <c r="B19" i="6" l="1"/>
  <c r="B20" i="6"/>
  <c r="B23" i="6" s="1"/>
  <c r="B22" i="4"/>
  <c r="B12" i="4"/>
  <c r="D140" i="16" l="1"/>
  <c r="C140" i="16"/>
  <c r="B140" i="16"/>
  <c r="B139" i="16"/>
  <c r="B138" i="16"/>
  <c r="B137" i="16"/>
  <c r="B136" i="16"/>
  <c r="B135" i="16"/>
  <c r="B134" i="16"/>
  <c r="B133" i="16"/>
  <c r="B122" i="16"/>
  <c r="D121" i="16"/>
  <c r="C121" i="16"/>
  <c r="C138" i="16" s="1"/>
  <c r="D120" i="16"/>
  <c r="C120" i="16"/>
  <c r="E109" i="16"/>
  <c r="E108" i="16"/>
  <c r="B107" i="16"/>
  <c r="E106" i="16"/>
  <c r="E140" i="16" s="1"/>
  <c r="D105" i="16"/>
  <c r="D139" i="16" s="1"/>
  <c r="C105" i="16"/>
  <c r="C139" i="16" s="1"/>
  <c r="E104" i="16"/>
  <c r="D103" i="16"/>
  <c r="D137" i="16" s="1"/>
  <c r="C103" i="16"/>
  <c r="C137" i="16" s="1"/>
  <c r="D102" i="16"/>
  <c r="C102" i="16"/>
  <c r="D101" i="16"/>
  <c r="C101" i="16"/>
  <c r="D100" i="16"/>
  <c r="C100" i="16"/>
  <c r="D99" i="16"/>
  <c r="E99" i="16" s="1"/>
  <c r="C99" i="16"/>
  <c r="C98" i="16"/>
  <c r="E88" i="16"/>
  <c r="E87" i="16"/>
  <c r="B86" i="16"/>
  <c r="D85" i="16"/>
  <c r="D86" i="16" s="1"/>
  <c r="C85" i="16"/>
  <c r="C86" i="16" s="1"/>
  <c r="E75" i="16"/>
  <c r="B145" i="16" s="1"/>
  <c r="B74" i="16"/>
  <c r="D73" i="16"/>
  <c r="C73" i="16"/>
  <c r="E73" i="16" s="1"/>
  <c r="D72" i="16"/>
  <c r="C72" i="16"/>
  <c r="D71" i="16"/>
  <c r="C71" i="16"/>
  <c r="B58" i="16"/>
  <c r="D57" i="16"/>
  <c r="D136" i="16" s="1"/>
  <c r="C57" i="16"/>
  <c r="D56" i="16"/>
  <c r="C56" i="16"/>
  <c r="B43" i="16"/>
  <c r="D42" i="16"/>
  <c r="C42" i="16"/>
  <c r="C43" i="16" s="1"/>
  <c r="B30" i="16"/>
  <c r="D29" i="16"/>
  <c r="C29" i="16"/>
  <c r="C135" i="16" s="1"/>
  <c r="D28" i="16"/>
  <c r="E28" i="16" s="1"/>
  <c r="C28" i="16"/>
  <c r="C134" i="16" s="1"/>
  <c r="B14" i="16"/>
  <c r="D13" i="16"/>
  <c r="D14" i="16" s="1"/>
  <c r="C13" i="16"/>
  <c r="C14" i="16" s="1"/>
  <c r="B141" i="16" l="1"/>
  <c r="B9" i="4" s="1"/>
  <c r="E102" i="16"/>
  <c r="C30" i="16"/>
  <c r="E56" i="16"/>
  <c r="E101" i="16"/>
  <c r="D58" i="16"/>
  <c r="E72" i="16"/>
  <c r="C107" i="16"/>
  <c r="E29" i="16"/>
  <c r="E135" i="16" s="1"/>
  <c r="F135" i="16" s="1"/>
  <c r="C74" i="16"/>
  <c r="D98" i="16"/>
  <c r="D107" i="16" s="1"/>
  <c r="E100" i="16"/>
  <c r="E103" i="16"/>
  <c r="E137" i="16" s="1"/>
  <c r="F137" i="16" s="1"/>
  <c r="E105" i="16"/>
  <c r="E139" i="16" s="1"/>
  <c r="F139" i="16" s="1"/>
  <c r="E121" i="16"/>
  <c r="E138" i="16" s="1"/>
  <c r="F138" i="16" s="1"/>
  <c r="D134" i="16"/>
  <c r="E13" i="16"/>
  <c r="E85" i="16"/>
  <c r="E86" i="16" s="1"/>
  <c r="C58" i="16"/>
  <c r="D74" i="16"/>
  <c r="E120" i="16"/>
  <c r="B124" i="16"/>
  <c r="E134" i="16"/>
  <c r="F134" i="16" s="1"/>
  <c r="E30" i="16"/>
  <c r="D43" i="16"/>
  <c r="E42" i="16"/>
  <c r="E43" i="16" s="1"/>
  <c r="D135" i="16"/>
  <c r="D138" i="16"/>
  <c r="E57" i="16"/>
  <c r="E136" i="16" s="1"/>
  <c r="F136" i="16" s="1"/>
  <c r="C122" i="16"/>
  <c r="D122" i="16"/>
  <c r="C133" i="16"/>
  <c r="C136" i="16"/>
  <c r="E14" i="16"/>
  <c r="D30" i="16"/>
  <c r="E71" i="16"/>
  <c r="D141" i="16" l="1"/>
  <c r="E122" i="16"/>
  <c r="E98" i="16"/>
  <c r="E107" i="16" s="1"/>
  <c r="D133" i="16"/>
  <c r="E74" i="16"/>
  <c r="C141" i="16"/>
  <c r="E58" i="16"/>
  <c r="E133" i="16" l="1"/>
  <c r="E141" i="16" l="1"/>
  <c r="F133" i="16"/>
  <c r="F141" i="16" s="1"/>
  <c r="B8" i="4" s="1"/>
  <c r="B14" i="4" s="1"/>
  <c r="C22" i="4"/>
  <c r="G47" i="4" s="1"/>
  <c r="C12" i="4"/>
  <c r="G46" i="4" l="1"/>
  <c r="B19" i="4"/>
  <c r="C21" i="4"/>
  <c r="F47" i="4" s="1"/>
  <c r="C11" i="4"/>
  <c r="B18" i="4"/>
  <c r="F46" i="4" l="1"/>
  <c r="B24" i="4"/>
  <c r="E26" i="6" l="1"/>
</calcChain>
</file>

<file path=xl/sharedStrings.xml><?xml version="1.0" encoding="utf-8"?>
<sst xmlns="http://schemas.openxmlformats.org/spreadsheetml/2006/main" count="400" uniqueCount="105">
  <si>
    <t>תזרים היטל סלילת כבישים ומדרכות</t>
  </si>
  <si>
    <t>תזרים היטל סלילת כביש</t>
  </si>
  <si>
    <t>סה"כ מ"ר בנוי לחיוב</t>
  </si>
  <si>
    <t xml:space="preserve">גבייה - </t>
  </si>
  <si>
    <t>סה"כ מ"ר קרקע לחיוב</t>
  </si>
  <si>
    <t>סה"כ עלויות בש"ח</t>
  </si>
  <si>
    <t>תעריף למ"ר בנוי</t>
  </si>
  <si>
    <t>תעריף למ"ר קרקע</t>
  </si>
  <si>
    <t>סה"כ גבייה</t>
  </si>
  <si>
    <t>תזרים היטל סלילת מדרכה</t>
  </si>
  <si>
    <t>סה"כ</t>
  </si>
  <si>
    <t>חוק עזר לסלילת כבישים ומדרכות</t>
  </si>
  <si>
    <t>סה"כ כולל מע"מ</t>
  </si>
  <si>
    <t xml:space="preserve">סה"כ עלויות כולל העמסות, תקורה ומע"מ  </t>
  </si>
  <si>
    <t>ייעוד</t>
  </si>
  <si>
    <t>מגורים</t>
  </si>
  <si>
    <t>שצ"פ</t>
  </si>
  <si>
    <t>עיקרי</t>
  </si>
  <si>
    <t>שרות</t>
  </si>
  <si>
    <t>אזור מגורים א'</t>
  </si>
  <si>
    <t>אזור מגורים ב'</t>
  </si>
  <si>
    <t>אזור מגורים ג'</t>
  </si>
  <si>
    <t>דרכים</t>
  </si>
  <si>
    <t>מסחר</t>
  </si>
  <si>
    <t>תעסוקה</t>
  </si>
  <si>
    <t>עתלית - נתוח תב"עות</t>
  </si>
  <si>
    <t>שם תב"ע</t>
  </si>
  <si>
    <t>מכ/199 א'</t>
  </si>
  <si>
    <t>שינוי ל- 555</t>
  </si>
  <si>
    <t>מיקום</t>
  </si>
  <si>
    <t>שכונת בולני</t>
  </si>
  <si>
    <t>שטח קרקע</t>
  </si>
  <si>
    <t>שטח בנייה</t>
  </si>
  <si>
    <t>הערות</t>
  </si>
  <si>
    <t>שרות*</t>
  </si>
  <si>
    <t>מגורים א'</t>
  </si>
  <si>
    <t>עבור 300 יח"ד</t>
  </si>
  <si>
    <t>שצ"פים</t>
  </si>
  <si>
    <t>מכ/381</t>
  </si>
  <si>
    <t>אזור תעסוקה - מחלף עתלית</t>
  </si>
  <si>
    <t xml:space="preserve">שינוי ל- 555 </t>
  </si>
  <si>
    <t>מסחר ועסקים</t>
  </si>
  <si>
    <t>מכ/במ/384</t>
  </si>
  <si>
    <t>שכונת מגורים במז' עתלית</t>
  </si>
  <si>
    <t>מגורים ב'</t>
  </si>
  <si>
    <t>מחושב ע"פ 4 יח"ד לדונם - מחסן 6 מ"ר</t>
  </si>
  <si>
    <t>מכ/378</t>
  </si>
  <si>
    <t>רח' המחתרות</t>
  </si>
  <si>
    <t>מכ/13</t>
  </si>
  <si>
    <t>מסחר משולב</t>
  </si>
  <si>
    <t>חכ/17/ה/א</t>
  </si>
  <si>
    <t>שכונת מגורים בדרום עתלית</t>
  </si>
  <si>
    <t>מכ/528</t>
  </si>
  <si>
    <t>שכונת מגורים בעתלית</t>
  </si>
  <si>
    <t>מכ/362 א'</t>
  </si>
  <si>
    <t>לא כולל חניה מקורה - 15%</t>
  </si>
  <si>
    <t>מגורים א'1</t>
  </si>
  <si>
    <t>מגורים ב'1</t>
  </si>
  <si>
    <t>מגורים ב'2</t>
  </si>
  <si>
    <t>לא כולל חניה מקורה - 15%, ממוצע שירות</t>
  </si>
  <si>
    <t>מגורים מיוחד</t>
  </si>
  <si>
    <t>כולל חניה תת קרקעית</t>
  </si>
  <si>
    <t>מבני ציבור ומסחר</t>
  </si>
  <si>
    <t>חלק יחסי מסחר -  השאר מבנה ציבור30%</t>
  </si>
  <si>
    <t>מרכז עסקים ראשי</t>
  </si>
  <si>
    <t>חלק יחסי מרכז עסקים - 80% השאר מבנה ציבור</t>
  </si>
  <si>
    <t>תחום רכבת</t>
  </si>
  <si>
    <t>שצ"פ אינטנסיבי</t>
  </si>
  <si>
    <t>שצ"פ אקסטנסיבי</t>
  </si>
  <si>
    <t>מכ/376</t>
  </si>
  <si>
    <t>סביוני עתית</t>
  </si>
  <si>
    <t>עבור 452 יח"ד</t>
  </si>
  <si>
    <t>אזור מסחרי</t>
  </si>
  <si>
    <t>ריכוז</t>
  </si>
  <si>
    <t>ריכוז כבישים</t>
  </si>
  <si>
    <t>מ. א. חוף הכרמל</t>
  </si>
  <si>
    <t>עלויות בגין עתלית</t>
  </si>
  <si>
    <t>עתלית</t>
  </si>
  <si>
    <t>מרד בסיס ינואר 2015</t>
  </si>
  <si>
    <t>אחוז מימוש - 90%</t>
  </si>
  <si>
    <t>סה"כ לתחשיב</t>
  </si>
  <si>
    <t>העלויות הן בהתאם לפרוייקט "חצרות האיכרים" בישוב, ממנו נגזרה העלות למ"ר</t>
  </si>
  <si>
    <t>ראו עלויות מפורטות בנספח מס' 1</t>
  </si>
  <si>
    <t>קיזוזים</t>
  </si>
  <si>
    <t>קווי מים עד קוטר 8"</t>
  </si>
  <si>
    <t>קווי מים עד קוטר 16"</t>
  </si>
  <si>
    <t>מתקנים ואביזרים למים</t>
  </si>
  <si>
    <t xml:space="preserve">קווי ביוב </t>
  </si>
  <si>
    <t>מתקני ביוב</t>
  </si>
  <si>
    <t>סה"כ קיזוזים</t>
  </si>
  <si>
    <t>סה"כ עלות</t>
  </si>
  <si>
    <t>סה"כ עלות - ללא מע"מ</t>
  </si>
  <si>
    <t>עלות כללית - ללא מע"מ</t>
  </si>
  <si>
    <t>מע"מ - 18%</t>
  </si>
  <si>
    <t>מ"ר כביש לתחשיב</t>
  </si>
  <si>
    <t>עלות למ"ר</t>
  </si>
  <si>
    <t>סה"כ שטח כבישים לתחשיב במ"ר</t>
  </si>
  <si>
    <t>עבור כביש</t>
  </si>
  <si>
    <t>עבור מדרכה</t>
  </si>
  <si>
    <t>תעריפים לוורד</t>
  </si>
  <si>
    <t>היטל סלילת כביש</t>
  </si>
  <si>
    <t>לכל מ"ר בנוי</t>
  </si>
  <si>
    <t>לכל מ"ר קרקע</t>
  </si>
  <si>
    <t>היטל סלילת מדרכה</t>
  </si>
  <si>
    <t>תעריף לכל מ"ק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</si>
</sst>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&quot;₪&quot;\ #,##0"/>
    <numFmt numFmtId="165" formatCode="_ * #,##0_ ;_ * \-#,##0_ ;_ * &quot;-&quot;??_ ;_ @_ "/>
    <numFmt numFmtId="166" formatCode="0.0%"/>
    <numFmt numFmtId="167" formatCode="_ &quot;₪&quot;\ * #,##0_ ;_ &quot;₪&quot;\ * \-#,##0_ ;_ &quot;₪&quot;\ * &quot;-&quot;??_ ;_ @_ "/>
    <numFmt numFmtId="168" formatCode="General_)"/>
    <numFmt numFmtId="169" formatCode="&quot;₪&quot;\ #,##0.00"/>
    <numFmt numFmtId="170" formatCode="\‏#,##0.00_);[Red]\‏\‏\(#,##0.00\)\‏"/>
    <numFmt numFmtId="171" formatCode="_-&quot;₪&quot;* #,##0_-;\-&quot;₪&quot;* #,##0_-;_-&quot;₪&quot;* &quot;-&quot;_-;_-@_-"/>
    <numFmt numFmtId="172" formatCode="\‏d/m/yy\‏"/>
    <numFmt numFmtId="173" formatCode="#.00"/>
    <numFmt numFmtId="174" formatCode="#."/>
    <numFmt numFmtId="175" formatCode="[Red]\ח\'\ #,##0;[Blue]\ז\'\ #,##0;"/>
    <numFmt numFmtId="176" formatCode="[Red]#,##0;[Blue]#,##0;"/>
  </numFmts>
  <fonts count="46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9"/>
      <name val="David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b/>
      <sz val="16"/>
      <name val="Narkisim"/>
      <family val="2"/>
    </font>
    <font>
      <sz val="12"/>
      <name val="Narkisim"/>
      <family val="2"/>
    </font>
    <font>
      <b/>
      <sz val="12"/>
      <name val="Narkisim"/>
      <family val="2"/>
    </font>
    <font>
      <sz val="11"/>
      <color theme="1"/>
      <name val="Arial"/>
      <family val="2"/>
      <charset val="177"/>
      <scheme val="minor"/>
    </font>
    <font>
      <sz val="12"/>
      <name val="Narkisim"/>
      <family val="2"/>
    </font>
    <font>
      <b/>
      <sz val="12"/>
      <name val="Narkisim"/>
      <family val="2"/>
    </font>
    <font>
      <sz val="10"/>
      <name val="Arial (Hebrew)"/>
      <charset val="177"/>
    </font>
    <font>
      <sz val="11"/>
      <color theme="1"/>
      <name val="Arial"/>
      <family val="2"/>
      <scheme val="minor"/>
    </font>
    <font>
      <b/>
      <sz val="10"/>
      <name val="Arial"/>
      <family val="2"/>
      <charset val="177"/>
    </font>
    <font>
      <sz val="1"/>
      <color indexed="0"/>
      <name val="Arial (Hebrew)"/>
      <charset val="177"/>
    </font>
    <font>
      <sz val="1"/>
      <color indexed="8"/>
      <name val="Courier"/>
      <family val="3"/>
      <charset val="177"/>
    </font>
    <font>
      <b/>
      <sz val="1"/>
      <color indexed="8"/>
      <name val="Courier"/>
      <family val="3"/>
      <charset val="177"/>
    </font>
    <font>
      <sz val="10"/>
      <color theme="1"/>
      <name val="Arial"/>
      <family val="2"/>
      <charset val="177"/>
    </font>
    <font>
      <sz val="10"/>
      <name val="Arial"/>
      <family val="2"/>
      <charset val="177"/>
    </font>
    <font>
      <b/>
      <sz val="12"/>
      <name val="David"/>
      <family val="2"/>
      <charset val="177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4"/>
      <name val="Narkisim"/>
      <family val="2"/>
    </font>
    <font>
      <sz val="14"/>
      <name val="Narkisim"/>
      <family val="2"/>
    </font>
    <font>
      <sz val="14"/>
      <name val="Arial"/>
      <family val="2"/>
    </font>
    <font>
      <sz val="14"/>
      <name val="Narkisim"/>
      <family val="2"/>
      <charset val="177"/>
    </font>
    <font>
      <b/>
      <sz val="14"/>
      <name val="Narkisim"/>
      <family val="2"/>
      <charset val="177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7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5" fillId="0" borderId="1" applyNumberFormat="0">
      <alignment horizontal="righ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3" fillId="20" borderId="2" applyNumberFormat="0" applyFont="0" applyAlignment="0" applyProtection="0"/>
    <xf numFmtId="0" fontId="6" fillId="21" borderId="3" applyNumberFormat="0" applyAlignment="0" applyProtection="0"/>
    <xf numFmtId="0" fontId="7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7" borderId="3" applyNumberFormat="0" applyAlignment="0" applyProtection="0"/>
    <xf numFmtId="0" fontId="18" fillId="3" borderId="0" applyNumberFormat="0" applyBorder="0" applyAlignment="0" applyProtection="0"/>
    <xf numFmtId="0" fontId="19" fillId="23" borderId="9" applyNumberFormat="0" applyAlignment="0" applyProtection="0"/>
    <xf numFmtId="0" fontId="20" fillId="0" borderId="10" applyNumberFormat="0" applyFill="0" applyAlignment="0" applyProtection="0"/>
    <xf numFmtId="0" fontId="24" fillId="0" borderId="0"/>
    <xf numFmtId="0" fontId="27" fillId="0" borderId="0"/>
    <xf numFmtId="0" fontId="28" fillId="0" borderId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26" borderId="27" applyNumberFormat="0">
      <alignment horizontal="center" vertical="center" wrapText="1"/>
    </xf>
    <xf numFmtId="170" fontId="30" fillId="26" borderId="15" applyFont="0" applyFill="0" applyBorder="0" applyAlignment="0" applyProtection="0">
      <alignment horizontal="center" wrapText="1"/>
    </xf>
    <xf numFmtId="43" fontId="27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31" fillId="0" borderId="0">
      <protection locked="0"/>
    </xf>
    <xf numFmtId="174" fontId="32" fillId="0" borderId="0">
      <protection locked="0"/>
    </xf>
    <xf numFmtId="174" fontId="32" fillId="0" borderId="0">
      <protection locked="0"/>
    </xf>
    <xf numFmtId="175" fontId="29" fillId="26" borderId="24" applyFont="0" applyFill="0" applyBorder="0" applyAlignment="0" applyProtection="0">
      <alignment horizontal="center" wrapText="1"/>
    </xf>
    <xf numFmtId="0" fontId="1" fillId="0" borderId="27" applyNumberFormat="0" applyFont="0" applyFill="0" applyAlignment="0" applyProtection="0"/>
    <xf numFmtId="0" fontId="27" fillId="0" borderId="0"/>
    <xf numFmtId="0" fontId="24" fillId="0" borderId="0"/>
    <xf numFmtId="0" fontId="33" fillId="0" borderId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26" borderId="28" applyNumberFormat="0" applyFill="0" applyAlignment="0">
      <alignment horizontal="center" wrapText="1"/>
    </xf>
    <xf numFmtId="174" fontId="31" fillId="0" borderId="29">
      <protection locked="0"/>
    </xf>
    <xf numFmtId="9" fontId="24" fillId="0" borderId="0" applyFont="0" applyFill="0" applyBorder="0" applyAlignment="0" applyProtection="0"/>
    <xf numFmtId="0" fontId="34" fillId="0" borderId="0"/>
    <xf numFmtId="0" fontId="1" fillId="0" borderId="0"/>
    <xf numFmtId="9" fontId="37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109">
    <xf numFmtId="0" fontId="0" fillId="0" borderId="0" xfId="0"/>
    <xf numFmtId="0" fontId="21" fillId="24" borderId="0" xfId="0" applyFont="1" applyFill="1" applyAlignment="1">
      <alignment horizontal="center"/>
    </xf>
    <xf numFmtId="0" fontId="22" fillId="0" borderId="0" xfId="0" applyFont="1"/>
    <xf numFmtId="0" fontId="23" fillId="0" borderId="0" xfId="0" applyFont="1" applyFill="1" applyBorder="1" applyAlignment="1">
      <alignment horizontal="center"/>
    </xf>
    <xf numFmtId="0" fontId="22" fillId="0" borderId="0" xfId="0" applyFont="1" applyFill="1"/>
    <xf numFmtId="0" fontId="22" fillId="0" borderId="11" xfId="0" applyFont="1" applyBorder="1"/>
    <xf numFmtId="3" fontId="22" fillId="0" borderId="12" xfId="0" applyNumberFormat="1" applyFont="1" applyBorder="1"/>
    <xf numFmtId="166" fontId="22" fillId="0" borderId="0" xfId="0" applyNumberFormat="1" applyFont="1" applyFill="1"/>
    <xf numFmtId="0" fontId="22" fillId="0" borderId="13" xfId="0" applyFont="1" applyBorder="1"/>
    <xf numFmtId="3" fontId="22" fillId="0" borderId="14" xfId="0" applyNumberFormat="1" applyFont="1" applyBorder="1"/>
    <xf numFmtId="0" fontId="22" fillId="0" borderId="15" xfId="0" applyFont="1" applyBorder="1"/>
    <xf numFmtId="0" fontId="22" fillId="0" borderId="19" xfId="0" applyFont="1" applyBorder="1"/>
    <xf numFmtId="165" fontId="22" fillId="0" borderId="20" xfId="19" applyNumberFormat="1" applyFont="1" applyBorder="1"/>
    <xf numFmtId="0" fontId="22" fillId="0" borderId="0" xfId="0" applyFont="1" applyBorder="1"/>
    <xf numFmtId="165" fontId="22" fillId="0" borderId="0" xfId="19" applyNumberFormat="1" applyFont="1" applyBorder="1"/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0" fillId="0" borderId="0" xfId="0" applyFill="1" applyBorder="1"/>
    <xf numFmtId="0" fontId="22" fillId="0" borderId="21" xfId="0" applyFont="1" applyBorder="1"/>
    <xf numFmtId="10" fontId="22" fillId="0" borderId="0" xfId="0" applyNumberFormat="1" applyFont="1"/>
    <xf numFmtId="0" fontId="25" fillId="0" borderId="0" xfId="0" applyFont="1"/>
    <xf numFmtId="169" fontId="22" fillId="0" borderId="0" xfId="0" applyNumberFormat="1" applyFont="1"/>
    <xf numFmtId="164" fontId="26" fillId="0" borderId="0" xfId="0" applyNumberFormat="1" applyFont="1"/>
    <xf numFmtId="0" fontId="21" fillId="0" borderId="0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169" fontId="23" fillId="0" borderId="17" xfId="0" applyNumberFormat="1" applyFont="1" applyBorder="1"/>
    <xf numFmtId="169" fontId="23" fillId="25" borderId="16" xfId="0" applyNumberFormat="1" applyFont="1" applyFill="1" applyBorder="1"/>
    <xf numFmtId="169" fontId="23" fillId="0" borderId="18" xfId="0" applyNumberFormat="1" applyFont="1" applyBorder="1"/>
    <xf numFmtId="0" fontId="23" fillId="0" borderId="0" xfId="0" applyFont="1"/>
    <xf numFmtId="10" fontId="23" fillId="0" borderId="0" xfId="73" applyNumberFormat="1" applyFont="1"/>
    <xf numFmtId="0" fontId="21" fillId="0" borderId="0" xfId="0" applyFont="1" applyFill="1" applyBorder="1" applyAlignment="1">
      <alignment horizontal="right"/>
    </xf>
    <xf numFmtId="0" fontId="36" fillId="0" borderId="30" xfId="0" applyFont="1" applyBorder="1"/>
    <xf numFmtId="0" fontId="36" fillId="0" borderId="31" xfId="0" applyFont="1" applyBorder="1"/>
    <xf numFmtId="0" fontId="36" fillId="0" borderId="32" xfId="0" applyFont="1" applyBorder="1"/>
    <xf numFmtId="0" fontId="0" fillId="0" borderId="21" xfId="0" applyBorder="1"/>
    <xf numFmtId="0" fontId="0" fillId="0" borderId="15" xfId="0" applyBorder="1"/>
    <xf numFmtId="0" fontId="36" fillId="0" borderId="15" xfId="0" applyFont="1" applyBorder="1"/>
    <xf numFmtId="0" fontId="0" fillId="0" borderId="22" xfId="0" applyBorder="1"/>
    <xf numFmtId="43" fontId="0" fillId="0" borderId="15" xfId="75" applyFont="1" applyBorder="1"/>
    <xf numFmtId="3" fontId="0" fillId="0" borderId="15" xfId="0" applyNumberFormat="1" applyBorder="1"/>
    <xf numFmtId="3" fontId="39" fillId="0" borderId="15" xfId="0" applyNumberFormat="1" applyFont="1" applyBorder="1"/>
    <xf numFmtId="0" fontId="36" fillId="0" borderId="23" xfId="0" applyFont="1" applyBorder="1"/>
    <xf numFmtId="3" fontId="36" fillId="0" borderId="24" xfId="0" applyNumberFormat="1" applyFont="1" applyBorder="1"/>
    <xf numFmtId="0" fontId="0" fillId="0" borderId="25" xfId="0" applyBorder="1"/>
    <xf numFmtId="0" fontId="0" fillId="0" borderId="33" xfId="0" applyFill="1" applyBorder="1"/>
    <xf numFmtId="0" fontId="0" fillId="0" borderId="0" xfId="0" applyAlignment="1">
      <alignment horizontal="right" readingOrder="2"/>
    </xf>
    <xf numFmtId="0" fontId="0" fillId="0" borderId="21" xfId="0" applyBorder="1" applyAlignment="1">
      <alignment vertical="top"/>
    </xf>
    <xf numFmtId="3" fontId="0" fillId="0" borderId="15" xfId="0" applyNumberFormat="1" applyBorder="1" applyAlignment="1">
      <alignment vertical="top"/>
    </xf>
    <xf numFmtId="0" fontId="0" fillId="0" borderId="22" xfId="0" applyBorder="1" applyAlignment="1">
      <alignment vertical="top" wrapText="1"/>
    </xf>
    <xf numFmtId="0" fontId="0" fillId="0" borderId="34" xfId="0" applyBorder="1" applyAlignment="1">
      <alignment vertical="top"/>
    </xf>
    <xf numFmtId="3" fontId="0" fillId="0" borderId="35" xfId="0" applyNumberFormat="1" applyBorder="1" applyAlignment="1">
      <alignment vertical="top"/>
    </xf>
    <xf numFmtId="0" fontId="0" fillId="0" borderId="36" xfId="0" applyBorder="1" applyAlignment="1">
      <alignment vertical="top" wrapText="1"/>
    </xf>
    <xf numFmtId="0" fontId="0" fillId="0" borderId="0" xfId="0" applyFill="1"/>
    <xf numFmtId="0" fontId="0" fillId="0" borderId="34" xfId="0" applyBorder="1"/>
    <xf numFmtId="0" fontId="0" fillId="0" borderId="36" xfId="0" applyBorder="1"/>
    <xf numFmtId="0" fontId="0" fillId="27" borderId="34" xfId="0" applyFill="1" applyBorder="1"/>
    <xf numFmtId="3" fontId="0" fillId="27" borderId="35" xfId="0" applyNumberFormat="1" applyFill="1" applyBorder="1" applyAlignment="1">
      <alignment vertical="top"/>
    </xf>
    <xf numFmtId="3" fontId="0" fillId="27" borderId="15" xfId="0" applyNumberFormat="1" applyFill="1" applyBorder="1" applyAlignment="1">
      <alignment vertical="top"/>
    </xf>
    <xf numFmtId="0" fontId="0" fillId="27" borderId="36" xfId="0" applyFill="1" applyBorder="1"/>
    <xf numFmtId="3" fontId="0" fillId="0" borderId="0" xfId="0" applyNumberFormat="1"/>
    <xf numFmtId="0" fontId="40" fillId="0" borderId="0" xfId="0" applyFont="1"/>
    <xf numFmtId="0" fontId="36" fillId="0" borderId="37" xfId="0" applyFont="1" applyBorder="1"/>
    <xf numFmtId="3" fontId="36" fillId="0" borderId="38" xfId="0" applyNumberFormat="1" applyFont="1" applyBorder="1"/>
    <xf numFmtId="0" fontId="0" fillId="0" borderId="39" xfId="0" applyBorder="1"/>
    <xf numFmtId="0" fontId="21" fillId="0" borderId="0" xfId="0" applyFont="1" applyFill="1" applyBorder="1" applyAlignment="1">
      <alignment horizontal="center"/>
    </xf>
    <xf numFmtId="169" fontId="23" fillId="0" borderId="16" xfId="0" applyNumberFormat="1" applyFont="1" applyFill="1" applyBorder="1"/>
    <xf numFmtId="0" fontId="41" fillId="0" borderId="23" xfId="0" applyFont="1" applyBorder="1"/>
    <xf numFmtId="167" fontId="42" fillId="0" borderId="24" xfId="20" applyNumberFormat="1" applyFont="1" applyBorder="1"/>
    <xf numFmtId="167" fontId="42" fillId="0" borderId="25" xfId="20" applyNumberFormat="1" applyFont="1" applyBorder="1"/>
    <xf numFmtId="0" fontId="43" fillId="0" borderId="0" xfId="0" applyFont="1"/>
    <xf numFmtId="167" fontId="43" fillId="0" borderId="0" xfId="0" applyNumberFormat="1" applyFont="1"/>
    <xf numFmtId="0" fontId="44" fillId="0" borderId="0" xfId="0" applyFont="1" applyFill="1" applyBorder="1" applyAlignment="1">
      <alignment horizontal="right"/>
    </xf>
    <xf numFmtId="0" fontId="44" fillId="0" borderId="21" xfId="0" applyFont="1" applyFill="1" applyBorder="1" applyAlignment="1">
      <alignment horizontal="right"/>
    </xf>
    <xf numFmtId="0" fontId="21" fillId="0" borderId="23" xfId="0" applyFont="1" applyFill="1" applyBorder="1" applyAlignment="1">
      <alignment horizontal="right"/>
    </xf>
    <xf numFmtId="164" fontId="44" fillId="0" borderId="32" xfId="0" applyNumberFormat="1" applyFont="1" applyFill="1" applyBorder="1" applyAlignment="1">
      <alignment horizontal="center"/>
    </xf>
    <xf numFmtId="164" fontId="44" fillId="0" borderId="22" xfId="0" applyNumberFormat="1" applyFont="1" applyFill="1" applyBorder="1" applyAlignment="1">
      <alignment horizontal="center"/>
    </xf>
    <xf numFmtId="164" fontId="21" fillId="0" borderId="25" xfId="0" applyNumberFormat="1" applyFont="1" applyFill="1" applyBorder="1" applyAlignment="1">
      <alignment horizontal="center"/>
    </xf>
    <xf numFmtId="9" fontId="22" fillId="0" borderId="0" xfId="73" applyFont="1"/>
    <xf numFmtId="0" fontId="45" fillId="0" borderId="30" xfId="0" applyFont="1" applyFill="1" applyBorder="1" applyAlignment="1">
      <alignment horizontal="right"/>
    </xf>
    <xf numFmtId="0" fontId="45" fillId="0" borderId="21" xfId="0" applyFont="1" applyFill="1" applyBorder="1" applyAlignment="1">
      <alignment horizontal="right"/>
    </xf>
    <xf numFmtId="164" fontId="45" fillId="0" borderId="22" xfId="0" applyNumberFormat="1" applyFont="1" applyFill="1" applyBorder="1" applyAlignment="1">
      <alignment horizontal="center"/>
    </xf>
    <xf numFmtId="164" fontId="44" fillId="0" borderId="0" xfId="0" applyNumberFormat="1" applyFont="1" applyFill="1" applyBorder="1" applyAlignment="1">
      <alignment horizontal="center"/>
    </xf>
    <xf numFmtId="3" fontId="44" fillId="0" borderId="0" xfId="0" applyNumberFormat="1" applyFont="1" applyFill="1" applyBorder="1" applyAlignment="1">
      <alignment horizontal="center"/>
    </xf>
    <xf numFmtId="169" fontId="44" fillId="0" borderId="0" xfId="0" applyNumberFormat="1" applyFont="1" applyFill="1" applyBorder="1" applyAlignment="1">
      <alignment horizontal="center"/>
    </xf>
    <xf numFmtId="2" fontId="22" fillId="0" borderId="0" xfId="0" applyNumberFormat="1" applyFont="1"/>
    <xf numFmtId="0" fontId="0" fillId="0" borderId="34" xfId="0" applyFill="1" applyBorder="1"/>
    <xf numFmtId="3" fontId="0" fillId="0" borderId="35" xfId="0" applyNumberFormat="1" applyFill="1" applyBorder="1" applyAlignment="1">
      <alignment vertical="top"/>
    </xf>
    <xf numFmtId="3" fontId="0" fillId="0" borderId="15" xfId="0" applyNumberFormat="1" applyFill="1" applyBorder="1" applyAlignment="1">
      <alignment vertical="top"/>
    </xf>
    <xf numFmtId="0" fontId="0" fillId="0" borderId="36" xfId="0" applyFill="1" applyBorder="1"/>
    <xf numFmtId="0" fontId="22" fillId="0" borderId="30" xfId="0" applyFont="1" applyBorder="1"/>
    <xf numFmtId="0" fontId="22" fillId="0" borderId="31" xfId="0" applyFont="1" applyBorder="1"/>
    <xf numFmtId="0" fontId="22" fillId="0" borderId="32" xfId="0" applyFont="1" applyBorder="1"/>
    <xf numFmtId="169" fontId="22" fillId="0" borderId="42" xfId="0" applyNumberFormat="1" applyFont="1" applyBorder="1"/>
    <xf numFmtId="169" fontId="22" fillId="0" borderId="43" xfId="0" applyNumberFormat="1" applyFont="1" applyBorder="1"/>
    <xf numFmtId="0" fontId="22" fillId="0" borderId="44" xfId="0" applyFont="1" applyBorder="1"/>
    <xf numFmtId="169" fontId="22" fillId="0" borderId="45" xfId="0" applyNumberFormat="1" applyFont="1" applyBorder="1"/>
    <xf numFmtId="169" fontId="22" fillId="0" borderId="46" xfId="0" applyNumberFormat="1" applyFont="1" applyBorder="1"/>
    <xf numFmtId="3" fontId="22" fillId="0" borderId="0" xfId="0" applyNumberFormat="1" applyFont="1"/>
    <xf numFmtId="0" fontId="22" fillId="0" borderId="42" xfId="0" applyFont="1" applyBorder="1"/>
    <xf numFmtId="0" fontId="36" fillId="0" borderId="31" xfId="0" applyFont="1" applyBorder="1" applyAlignment="1">
      <alignment horizontal="center"/>
    </xf>
    <xf numFmtId="0" fontId="36" fillId="0" borderId="40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27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24" borderId="0" xfId="0" applyFont="1" applyFill="1" applyAlignment="1">
      <alignment horizontal="center"/>
    </xf>
  </cellXfs>
  <cellStyles count="76">
    <cellStyle name="20% - הדגשה1" xfId="1" builtinId="30" customBuiltin="1"/>
    <cellStyle name="20% - הדגשה2" xfId="2" builtinId="34" customBuiltin="1"/>
    <cellStyle name="20% - הדגשה3" xfId="3" builtinId="38" customBuiltin="1"/>
    <cellStyle name="20% - הדגשה4" xfId="4" builtinId="42" customBuiltin="1"/>
    <cellStyle name="20% - הדגשה5" xfId="5" builtinId="46" customBuiltin="1"/>
    <cellStyle name="20% - הדגשה6" xfId="6" builtinId="50" customBuiltin="1"/>
    <cellStyle name="40% - הדגשה1" xfId="7" builtinId="31" customBuiltin="1"/>
    <cellStyle name="40% - הדגשה2" xfId="8" builtinId="35" customBuiltin="1"/>
    <cellStyle name="40% - הדגשה3" xfId="9" builtinId="39" customBuiltin="1"/>
    <cellStyle name="40% - הדגשה4" xfId="10" builtinId="43" customBuiltin="1"/>
    <cellStyle name="40% - הדגשה5" xfId="11" builtinId="47" customBuiltin="1"/>
    <cellStyle name="40% - הדגשה6" xfId="12" builtinId="51" customBuiltin="1"/>
    <cellStyle name="60% - הדגשה1" xfId="13" builtinId="32" customBuiltin="1"/>
    <cellStyle name="60% - הדגשה2" xfId="14" builtinId="36" customBuiltin="1"/>
    <cellStyle name="60% - הדגשה3" xfId="15" builtinId="40" customBuiltin="1"/>
    <cellStyle name="60% - הדגשה4" xfId="16" builtinId="44" customBuiltin="1"/>
    <cellStyle name="60% - הדגשה5" xfId="17" builtinId="48" customBuiltin="1"/>
    <cellStyle name="60% - הדגשה6" xfId="18" builtinId="52" customBuiltin="1"/>
    <cellStyle name="Col-heading" xfId="50"/>
    <cellStyle name="Comma" xfId="19" builtinId="3"/>
    <cellStyle name="Comma [2]" xfId="51"/>
    <cellStyle name="Comma 2" xfId="48"/>
    <cellStyle name="Comma 2 2" xfId="52"/>
    <cellStyle name="Comma 3" xfId="49"/>
    <cellStyle name="Comma 4" xfId="75"/>
    <cellStyle name="Currency" xfId="20" builtinId="4"/>
    <cellStyle name="Currency [0] _אוכלוסייה - מ. א. זבולון" xfId="53"/>
    <cellStyle name="Currency 2" xfId="54"/>
    <cellStyle name="Currency 3" xfId="55"/>
    <cellStyle name="Currency 4" xfId="74"/>
    <cellStyle name="Date" xfId="56"/>
    <cellStyle name="Fixed" xfId="57"/>
    <cellStyle name="Heading1" xfId="58"/>
    <cellStyle name="Heading2" xfId="59"/>
    <cellStyle name="Hova-Zchut" xfId="60"/>
    <cellStyle name="Light borders" xfId="61"/>
    <cellStyle name="MS_Hebrew" xfId="21"/>
    <cellStyle name="Normal" xfId="0" builtinId="0"/>
    <cellStyle name="Normal 2" xfId="45"/>
    <cellStyle name="Normal 3" xfId="46"/>
    <cellStyle name="Normal 4" xfId="47"/>
    <cellStyle name="Normal 4 2" xfId="62"/>
    <cellStyle name="Normal 5" xfId="63"/>
    <cellStyle name="Normal 6" xfId="64"/>
    <cellStyle name="Normal 7" xfId="71"/>
    <cellStyle name="Normal 8" xfId="72"/>
    <cellStyle name="Percent" xfId="73" builtinId="5"/>
    <cellStyle name="Percent 2" xfId="65"/>
    <cellStyle name="Percent 3" xfId="66"/>
    <cellStyle name="Percent 4" xfId="70"/>
    <cellStyle name="Red-Blue" xfId="67"/>
    <cellStyle name="Sum-row" xfId="68"/>
    <cellStyle name="Total" xfId="69"/>
    <cellStyle name="הדגשה1" xfId="22" builtinId="29" customBuiltin="1"/>
    <cellStyle name="הדגשה2" xfId="23" builtinId="33" customBuiltin="1"/>
    <cellStyle name="הדגשה3" xfId="24" builtinId="37" customBuiltin="1"/>
    <cellStyle name="הדגשה4" xfId="25" builtinId="41" customBuiltin="1"/>
    <cellStyle name="הדגשה5" xfId="26" builtinId="45" customBuiltin="1"/>
    <cellStyle name="הדגשה6" xfId="27" builtinId="49" customBuiltin="1"/>
    <cellStyle name="הערה" xfId="28" builtinId="10" customBuiltin="1"/>
    <cellStyle name="חישוב" xfId="29" builtinId="22" customBuiltin="1"/>
    <cellStyle name="טוב" xfId="30" builtinId="26" customBuiltin="1"/>
    <cellStyle name="טקסט אזהרה" xfId="31" builtinId="11" customBuiltin="1"/>
    <cellStyle name="טקסט הסברי" xfId="32" builtinId="53" customBuiltin="1"/>
    <cellStyle name="כותרת" xfId="33" builtinId="15" customBuiltin="1"/>
    <cellStyle name="כותרת 1" xfId="34" builtinId="16" customBuiltin="1"/>
    <cellStyle name="כותרת 2" xfId="35" builtinId="17" customBuiltin="1"/>
    <cellStyle name="כותרת 3" xfId="36" builtinId="18" customBuiltin="1"/>
    <cellStyle name="כותרת 4" xfId="37" builtinId="19" customBuiltin="1"/>
    <cellStyle name="ניטראלי" xfId="38" builtinId="28" customBuiltin="1"/>
    <cellStyle name="סה&quot;כ" xfId="39" builtinId="25" customBuiltin="1"/>
    <cellStyle name="פלט" xfId="40" builtinId="21" customBuiltin="1"/>
    <cellStyle name="קלט" xfId="41" builtinId="20" customBuiltin="1"/>
    <cellStyle name="רע" xfId="42" builtinId="27" customBuiltin="1"/>
    <cellStyle name="תא מסומן" xfId="43" builtinId="23" customBuiltin="1"/>
    <cellStyle name="תא מקושר" xfId="4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SH_AIN/&#1495;&#1493;&#1511;&#1497;%20&#1506;&#1494;&#1512;/&#1513;&#1496;&#1495;&#1497;&#1501;%20&#1500;&#1495;&#1497;&#1493;&#1489;%20&#1500;&#1500;&#1488;%20&#1511;&#1512;&#1511;&#1506;%20&#1495;&#1511;&#1500;&#1488;&#1497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רנונה"/>
      <sheetName val="Macro1"/>
      <sheetName val="תבעות"/>
    </sheetNames>
    <sheetDataSet>
      <sheetData sheetId="0"/>
      <sheetData sheetId="1">
        <row r="69">
          <cell r="A69" t="str">
            <v>Recover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rightToLeft="1" zoomScaleNormal="100" zoomScaleSheetLayoutView="100" workbookViewId="0">
      <selection activeCell="H116" sqref="H116"/>
    </sheetView>
  </sheetViews>
  <sheetFormatPr defaultRowHeight="12.75"/>
  <cols>
    <col min="1" max="1" width="20.42578125" customWidth="1"/>
    <col min="2" max="2" width="11.85546875" customWidth="1"/>
    <col min="3" max="3" width="9.5703125" customWidth="1"/>
    <col min="4" max="4" width="9.85546875" customWidth="1"/>
    <col min="5" max="5" width="12" customWidth="1"/>
    <col min="6" max="6" width="36.85546875" customWidth="1"/>
    <col min="7" max="7" width="26.42578125" customWidth="1"/>
    <col min="8" max="8" width="27.85546875" customWidth="1"/>
  </cols>
  <sheetData>
    <row r="1" spans="1:6" ht="18">
      <c r="A1" s="103" t="s">
        <v>25</v>
      </c>
      <c r="B1" s="103"/>
      <c r="C1" s="103"/>
      <c r="D1" s="103"/>
      <c r="E1" s="103"/>
      <c r="F1" s="103"/>
    </row>
    <row r="5" spans="1:6">
      <c r="A5" t="s">
        <v>26</v>
      </c>
      <c r="B5" t="s">
        <v>27</v>
      </c>
      <c r="D5" t="s">
        <v>28</v>
      </c>
    </row>
    <row r="7" spans="1:6">
      <c r="A7" t="s">
        <v>29</v>
      </c>
      <c r="B7" t="s">
        <v>30</v>
      </c>
    </row>
    <row r="9" spans="1:6" ht="13.5" thickBot="1"/>
    <row r="10" spans="1:6" ht="13.5" thickTop="1">
      <c r="A10" s="31" t="s">
        <v>14</v>
      </c>
      <c r="B10" s="32" t="s">
        <v>31</v>
      </c>
      <c r="C10" s="99" t="s">
        <v>32</v>
      </c>
      <c r="D10" s="99"/>
      <c r="E10" s="99"/>
      <c r="F10" s="33" t="s">
        <v>33</v>
      </c>
    </row>
    <row r="11" spans="1:6">
      <c r="A11" s="34"/>
      <c r="B11" s="35"/>
      <c r="C11" s="36" t="s">
        <v>17</v>
      </c>
      <c r="D11" s="36" t="s">
        <v>34</v>
      </c>
      <c r="E11" s="36" t="s">
        <v>10</v>
      </c>
      <c r="F11" s="37"/>
    </row>
    <row r="12" spans="1:6">
      <c r="A12" s="34"/>
      <c r="B12" s="38"/>
      <c r="C12" s="36"/>
      <c r="D12" s="36"/>
      <c r="E12" s="36"/>
      <c r="F12" s="37"/>
    </row>
    <row r="13" spans="1:6">
      <c r="A13" s="34" t="s">
        <v>35</v>
      </c>
      <c r="B13" s="39">
        <v>114490</v>
      </c>
      <c r="C13" s="39">
        <f>B13*0.4</f>
        <v>45796</v>
      </c>
      <c r="D13" s="40">
        <f>19.5*300</f>
        <v>5850</v>
      </c>
      <c r="E13" s="39">
        <f>D13+C13</f>
        <v>51646</v>
      </c>
      <c r="F13" s="37" t="s">
        <v>36</v>
      </c>
    </row>
    <row r="14" spans="1:6" ht="13.5" thickBot="1">
      <c r="A14" s="41" t="s">
        <v>10</v>
      </c>
      <c r="B14" s="42">
        <f>SUM(B13:B13)</f>
        <v>114490</v>
      </c>
      <c r="C14" s="42">
        <f>SUM(C13:C13)</f>
        <v>45796</v>
      </c>
      <c r="D14" s="42">
        <f>SUM(D13:D13)</f>
        <v>5850</v>
      </c>
      <c r="E14" s="42">
        <f>SUM(E13:E13)</f>
        <v>51646</v>
      </c>
      <c r="F14" s="43"/>
    </row>
    <row r="15" spans="1:6" ht="13.5" thickTop="1">
      <c r="A15" s="44" t="s">
        <v>22</v>
      </c>
      <c r="E15">
        <v>36990</v>
      </c>
    </row>
    <row r="16" spans="1:6">
      <c r="A16" s="45"/>
    </row>
    <row r="19" spans="1:6">
      <c r="A19" t="s">
        <v>26</v>
      </c>
      <c r="B19" t="s">
        <v>38</v>
      </c>
    </row>
    <row r="21" spans="1:6">
      <c r="A21" t="s">
        <v>29</v>
      </c>
      <c r="B21" t="s">
        <v>39</v>
      </c>
      <c r="E21" t="s">
        <v>40</v>
      </c>
    </row>
    <row r="23" spans="1:6" ht="13.5" thickBot="1"/>
    <row r="24" spans="1:6" ht="13.5" thickTop="1">
      <c r="A24" s="31" t="s">
        <v>14</v>
      </c>
      <c r="B24" s="32" t="s">
        <v>31</v>
      </c>
      <c r="C24" s="99" t="s">
        <v>32</v>
      </c>
      <c r="D24" s="99"/>
      <c r="E24" s="99"/>
      <c r="F24" s="33" t="s">
        <v>33</v>
      </c>
    </row>
    <row r="25" spans="1:6">
      <c r="A25" s="34"/>
      <c r="B25" s="35"/>
      <c r="C25" s="36" t="s">
        <v>17</v>
      </c>
      <c r="D25" s="36" t="s">
        <v>18</v>
      </c>
      <c r="E25" s="36" t="s">
        <v>10</v>
      </c>
      <c r="F25" s="37"/>
    </row>
    <row r="26" spans="1:6">
      <c r="A26" s="34"/>
      <c r="B26" s="35"/>
      <c r="C26" s="36"/>
      <c r="D26" s="36"/>
      <c r="E26" s="36"/>
      <c r="F26" s="37"/>
    </row>
    <row r="27" spans="1:6" ht="14.25" customHeight="1">
      <c r="A27" s="46" t="s">
        <v>41</v>
      </c>
      <c r="B27" s="47">
        <v>4230</v>
      </c>
      <c r="C27" s="47">
        <f>B27*1.7</f>
        <v>7191</v>
      </c>
      <c r="D27" s="47">
        <f>B27*1</f>
        <v>4230</v>
      </c>
      <c r="E27" s="47">
        <f>D27+C27</f>
        <v>11421</v>
      </c>
      <c r="F27" s="48"/>
    </row>
    <row r="28" spans="1:6" ht="14.25" customHeight="1">
      <c r="A28" s="49" t="s">
        <v>24</v>
      </c>
      <c r="B28" s="50">
        <v>30000</v>
      </c>
      <c r="C28" s="50">
        <f>B28*1.4</f>
        <v>42000</v>
      </c>
      <c r="D28" s="50">
        <f>B28*1</f>
        <v>30000</v>
      </c>
      <c r="E28" s="47">
        <f>D28+C28</f>
        <v>72000</v>
      </c>
      <c r="F28" s="51"/>
    </row>
    <row r="29" spans="1:6" ht="13.5" thickBot="1">
      <c r="A29" s="41" t="s">
        <v>10</v>
      </c>
      <c r="B29" s="42">
        <f>SUM(B27:B28)</f>
        <v>34230</v>
      </c>
      <c r="C29" s="42">
        <f>SUM(C27:C28)</f>
        <v>49191</v>
      </c>
      <c r="D29" s="42">
        <f>SUM(D27:D28)</f>
        <v>34230</v>
      </c>
      <c r="E29" s="42">
        <f>SUM(E27:E28)</f>
        <v>83421</v>
      </c>
      <c r="F29" s="43"/>
    </row>
    <row r="30" spans="1:6" ht="13.5" thickTop="1">
      <c r="A30" s="44" t="s">
        <v>22</v>
      </c>
      <c r="E30">
        <v>15100</v>
      </c>
    </row>
    <row r="32" spans="1:6">
      <c r="A32" s="52" t="s">
        <v>26</v>
      </c>
      <c r="B32" s="52" t="s">
        <v>42</v>
      </c>
    </row>
    <row r="34" spans="1:6">
      <c r="A34" t="s">
        <v>29</v>
      </c>
      <c r="B34" t="s">
        <v>43</v>
      </c>
      <c r="E34" t="s">
        <v>40</v>
      </c>
    </row>
    <row r="36" spans="1:6" ht="13.5" thickBot="1"/>
    <row r="37" spans="1:6" ht="13.5" thickTop="1">
      <c r="A37" s="31" t="s">
        <v>14</v>
      </c>
      <c r="B37" s="32" t="s">
        <v>31</v>
      </c>
      <c r="C37" s="99" t="s">
        <v>32</v>
      </c>
      <c r="D37" s="99"/>
      <c r="E37" s="99"/>
      <c r="F37" s="33" t="s">
        <v>33</v>
      </c>
    </row>
    <row r="38" spans="1:6">
      <c r="A38" s="34"/>
      <c r="B38" s="35"/>
      <c r="C38" s="36" t="s">
        <v>17</v>
      </c>
      <c r="D38" s="36" t="s">
        <v>18</v>
      </c>
      <c r="E38" s="36" t="s">
        <v>10</v>
      </c>
      <c r="F38" s="37"/>
    </row>
    <row r="39" spans="1:6">
      <c r="A39" s="34"/>
      <c r="B39" s="35"/>
      <c r="C39" s="36"/>
      <c r="D39" s="36"/>
      <c r="E39" s="36"/>
      <c r="F39" s="37"/>
    </row>
    <row r="40" spans="1:6" ht="14.25" customHeight="1">
      <c r="A40" s="46" t="s">
        <v>44</v>
      </c>
      <c r="B40" s="47">
        <v>74500</v>
      </c>
      <c r="C40" s="47">
        <f>B40*0.6</f>
        <v>44700</v>
      </c>
      <c r="D40" s="47">
        <f>74.4*4*6</f>
        <v>1785.6000000000001</v>
      </c>
      <c r="E40" s="47">
        <f>D40+C40</f>
        <v>46485.599999999999</v>
      </c>
      <c r="F40" s="48" t="s">
        <v>45</v>
      </c>
    </row>
    <row r="41" spans="1:6" ht="13.5" thickBot="1">
      <c r="A41" s="41" t="s">
        <v>10</v>
      </c>
      <c r="B41" s="42">
        <f>SUM(B40:B40)</f>
        <v>74500</v>
      </c>
      <c r="C41" s="42">
        <f>SUM(C40:C40)</f>
        <v>44700</v>
      </c>
      <c r="D41" s="42">
        <f>SUM(D40:D40)</f>
        <v>1785.6000000000001</v>
      </c>
      <c r="E41" s="42">
        <f>SUM(E40:E40)</f>
        <v>46485.599999999999</v>
      </c>
      <c r="F41" s="43"/>
    </row>
    <row r="42" spans="1:6" ht="13.5" thickTop="1">
      <c r="A42" s="44" t="s">
        <v>22</v>
      </c>
      <c r="E42">
        <v>36300</v>
      </c>
    </row>
    <row r="45" spans="1:6">
      <c r="A45" t="s">
        <v>26</v>
      </c>
      <c r="B45" s="52" t="s">
        <v>46</v>
      </c>
    </row>
    <row r="47" spans="1:6">
      <c r="A47" t="s">
        <v>29</v>
      </c>
      <c r="B47" t="s">
        <v>47</v>
      </c>
      <c r="E47" t="s">
        <v>40</v>
      </c>
      <c r="F47" t="s">
        <v>48</v>
      </c>
    </row>
    <row r="49" spans="1:6" ht="13.5" thickBot="1"/>
    <row r="50" spans="1:6" ht="13.5" thickTop="1">
      <c r="A50" s="31" t="s">
        <v>14</v>
      </c>
      <c r="B50" s="32" t="s">
        <v>31</v>
      </c>
      <c r="C50" s="99" t="s">
        <v>32</v>
      </c>
      <c r="D50" s="99"/>
      <c r="E50" s="99"/>
      <c r="F50" s="33" t="s">
        <v>33</v>
      </c>
    </row>
    <row r="51" spans="1:6">
      <c r="A51" s="34"/>
      <c r="B51" s="35"/>
      <c r="C51" s="36" t="s">
        <v>17</v>
      </c>
      <c r="D51" s="36" t="s">
        <v>18</v>
      </c>
      <c r="E51" s="36" t="s">
        <v>10</v>
      </c>
      <c r="F51" s="37"/>
    </row>
    <row r="52" spans="1:6">
      <c r="A52" s="34"/>
      <c r="B52" s="35"/>
      <c r="C52" s="36"/>
      <c r="D52" s="36"/>
      <c r="E52" s="36"/>
      <c r="F52" s="37"/>
    </row>
    <row r="53" spans="1:6">
      <c r="A53" s="34" t="s">
        <v>44</v>
      </c>
      <c r="B53" s="47">
        <v>56280</v>
      </c>
      <c r="C53" s="47">
        <f>B53*0.6</f>
        <v>33768</v>
      </c>
      <c r="D53" s="47">
        <f>B53*0.15</f>
        <v>8442</v>
      </c>
      <c r="E53" s="47">
        <f>SUM(C53:D53)</f>
        <v>42210</v>
      </c>
      <c r="F53" s="37"/>
    </row>
    <row r="54" spans="1:6" ht="13.5" customHeight="1">
      <c r="A54" s="46" t="s">
        <v>49</v>
      </c>
      <c r="B54" s="47">
        <v>700</v>
      </c>
      <c r="C54" s="47">
        <f>B54*0.4</f>
        <v>280</v>
      </c>
      <c r="D54" s="47">
        <f>B54*0.2</f>
        <v>140</v>
      </c>
      <c r="E54" s="47">
        <f>SUM(C54:D54)</f>
        <v>420</v>
      </c>
      <c r="F54" s="48"/>
    </row>
    <row r="55" spans="1:6" ht="13.5" thickBot="1">
      <c r="A55" s="41" t="s">
        <v>10</v>
      </c>
      <c r="B55" s="42">
        <f>SUM(B53:B54)</f>
        <v>56980</v>
      </c>
      <c r="C55" s="42">
        <f>SUM(C53:C54)</f>
        <v>34048</v>
      </c>
      <c r="D55" s="42">
        <f>SUM(D53:D54)</f>
        <v>8582</v>
      </c>
      <c r="E55" s="42">
        <f>SUM(E53:E54)</f>
        <v>42630</v>
      </c>
      <c r="F55" s="43"/>
    </row>
    <row r="56" spans="1:6" ht="13.5" thickTop="1">
      <c r="A56" s="44" t="s">
        <v>22</v>
      </c>
      <c r="E56">
        <v>25450</v>
      </c>
    </row>
    <row r="58" spans="1:6" ht="9.75" customHeight="1"/>
    <row r="60" spans="1:6">
      <c r="A60" t="s">
        <v>26</v>
      </c>
      <c r="B60" s="52" t="s">
        <v>50</v>
      </c>
    </row>
    <row r="62" spans="1:6">
      <c r="A62" t="s">
        <v>29</v>
      </c>
      <c r="B62" t="s">
        <v>51</v>
      </c>
      <c r="E62" t="s">
        <v>40</v>
      </c>
    </row>
    <row r="64" spans="1:6" ht="13.5" thickBot="1"/>
    <row r="65" spans="1:6" ht="13.5" thickTop="1">
      <c r="A65" s="31" t="s">
        <v>14</v>
      </c>
      <c r="B65" s="32" t="s">
        <v>31</v>
      </c>
      <c r="C65" s="99" t="s">
        <v>32</v>
      </c>
      <c r="D65" s="99"/>
      <c r="E65" s="99"/>
      <c r="F65" s="33" t="s">
        <v>33</v>
      </c>
    </row>
    <row r="66" spans="1:6">
      <c r="A66" s="34"/>
      <c r="B66" s="35"/>
      <c r="C66" s="36" t="s">
        <v>17</v>
      </c>
      <c r="D66" s="36" t="s">
        <v>18</v>
      </c>
      <c r="E66" s="36" t="s">
        <v>10</v>
      </c>
      <c r="F66" s="37"/>
    </row>
    <row r="67" spans="1:6">
      <c r="A67" s="34" t="s">
        <v>19</v>
      </c>
      <c r="B67" s="47">
        <v>9650</v>
      </c>
      <c r="C67" s="47">
        <f>B67*0.7</f>
        <v>6755</v>
      </c>
      <c r="D67" s="47">
        <f>B67*0.34</f>
        <v>3281.0000000000005</v>
      </c>
      <c r="E67" s="47">
        <f>SUM(C67:D67)</f>
        <v>10036</v>
      </c>
      <c r="F67" s="37"/>
    </row>
    <row r="68" spans="1:6">
      <c r="A68" s="34" t="s">
        <v>20</v>
      </c>
      <c r="B68" s="47">
        <v>47750</v>
      </c>
      <c r="C68" s="47">
        <f>B68*0.9</f>
        <v>42975</v>
      </c>
      <c r="D68" s="47">
        <f>B68*0.44</f>
        <v>21010</v>
      </c>
      <c r="E68" s="47">
        <f>SUM(C68:D68)</f>
        <v>63985</v>
      </c>
      <c r="F68" s="37"/>
    </row>
    <row r="69" spans="1:6">
      <c r="A69" s="34" t="s">
        <v>21</v>
      </c>
      <c r="B69" s="47">
        <v>10200</v>
      </c>
      <c r="C69" s="47">
        <f>B69*1.3</f>
        <v>13260</v>
      </c>
      <c r="D69" s="47">
        <f>B69*0.9</f>
        <v>9180</v>
      </c>
      <c r="E69" s="47">
        <f>SUM(C69:D69)</f>
        <v>22440</v>
      </c>
      <c r="F69" s="48"/>
    </row>
    <row r="70" spans="1:6" ht="13.5" thickBot="1">
      <c r="A70" s="41" t="s">
        <v>10</v>
      </c>
      <c r="B70" s="42">
        <f>SUM(B67:B69)</f>
        <v>67600</v>
      </c>
      <c r="C70" s="42">
        <f>SUM(C67:C69)</f>
        <v>62990</v>
      </c>
      <c r="D70" s="42">
        <f>SUM(D67:D69)</f>
        <v>33471</v>
      </c>
      <c r="E70" s="42">
        <f>SUM(E67:E69)</f>
        <v>96461</v>
      </c>
      <c r="F70" s="43"/>
    </row>
    <row r="71" spans="1:6" ht="13.5" thickTop="1">
      <c r="A71" s="44" t="s">
        <v>22</v>
      </c>
      <c r="E71">
        <f>74190+810</f>
        <v>75000</v>
      </c>
    </row>
    <row r="73" spans="1:6">
      <c r="A73" t="s">
        <v>26</v>
      </c>
      <c r="B73" s="52" t="s">
        <v>52</v>
      </c>
    </row>
    <row r="75" spans="1:6">
      <c r="A75" t="s">
        <v>29</v>
      </c>
      <c r="B75" t="s">
        <v>53</v>
      </c>
      <c r="E75" t="s">
        <v>40</v>
      </c>
    </row>
    <row r="77" spans="1:6" ht="13.5" thickBot="1"/>
    <row r="78" spans="1:6" ht="13.5" thickTop="1">
      <c r="A78" s="31" t="s">
        <v>14</v>
      </c>
      <c r="B78" s="32" t="s">
        <v>31</v>
      </c>
      <c r="C78" s="99" t="s">
        <v>32</v>
      </c>
      <c r="D78" s="99"/>
      <c r="E78" s="99"/>
      <c r="F78" s="33" t="s">
        <v>33</v>
      </c>
    </row>
    <row r="79" spans="1:6">
      <c r="A79" s="34"/>
      <c r="B79" s="35"/>
      <c r="C79" s="36" t="s">
        <v>17</v>
      </c>
      <c r="D79" s="36" t="s">
        <v>18</v>
      </c>
      <c r="E79" s="36" t="s">
        <v>10</v>
      </c>
      <c r="F79" s="37"/>
    </row>
    <row r="80" spans="1:6">
      <c r="A80" s="34" t="s">
        <v>20</v>
      </c>
      <c r="B80" s="47">
        <v>15360</v>
      </c>
      <c r="C80" s="47">
        <f>B80*0.6</f>
        <v>9216</v>
      </c>
      <c r="D80" s="47">
        <f>B80*0.2</f>
        <v>3072</v>
      </c>
      <c r="E80" s="47">
        <f>SUM(C80:D80)</f>
        <v>12288</v>
      </c>
      <c r="F80" s="37"/>
    </row>
    <row r="81" spans="1:6" ht="13.5" thickBot="1">
      <c r="A81" s="41" t="s">
        <v>10</v>
      </c>
      <c r="B81" s="42">
        <f>SUM(B80:B80)</f>
        <v>15360</v>
      </c>
      <c r="C81" s="42">
        <f>SUM(C80:C80)</f>
        <v>9216</v>
      </c>
      <c r="D81" s="42">
        <f>SUM(D80:D80)</f>
        <v>3072</v>
      </c>
      <c r="E81" s="42">
        <f>SUM(E80:E80)</f>
        <v>12288</v>
      </c>
      <c r="F81" s="43"/>
    </row>
    <row r="82" spans="1:6" ht="13.5" thickTop="1">
      <c r="A82" s="17" t="s">
        <v>22</v>
      </c>
      <c r="E82">
        <f>1100+4000</f>
        <v>5100</v>
      </c>
    </row>
    <row r="85" spans="1:6">
      <c r="A85" t="s">
        <v>26</v>
      </c>
      <c r="B85" s="52" t="s">
        <v>54</v>
      </c>
    </row>
    <row r="87" spans="1:6">
      <c r="A87" t="s">
        <v>29</v>
      </c>
      <c r="B87" t="s">
        <v>53</v>
      </c>
      <c r="E87" t="s">
        <v>40</v>
      </c>
    </row>
    <row r="89" spans="1:6" ht="13.5" thickBot="1"/>
    <row r="90" spans="1:6" ht="13.5" thickTop="1">
      <c r="A90" s="31" t="s">
        <v>14</v>
      </c>
      <c r="B90" s="32" t="s">
        <v>31</v>
      </c>
      <c r="C90" s="99" t="s">
        <v>32</v>
      </c>
      <c r="D90" s="99"/>
      <c r="E90" s="99"/>
      <c r="F90" s="33" t="s">
        <v>33</v>
      </c>
    </row>
    <row r="91" spans="1:6">
      <c r="A91" s="34"/>
      <c r="B91" s="35"/>
      <c r="C91" s="36" t="s">
        <v>17</v>
      </c>
      <c r="D91" s="36" t="s">
        <v>18</v>
      </c>
      <c r="E91" s="36" t="s">
        <v>10</v>
      </c>
      <c r="F91" s="37"/>
    </row>
    <row r="92" spans="1:6">
      <c r="A92" s="34" t="s">
        <v>35</v>
      </c>
      <c r="B92" s="47">
        <v>3648</v>
      </c>
      <c r="C92" s="47">
        <f>B92*0.37</f>
        <v>1349.76</v>
      </c>
      <c r="D92" s="47">
        <f>C92*0.15</f>
        <v>202.464</v>
      </c>
      <c r="E92" s="47">
        <f t="shared" ref="E92:E100" si="0">SUM(C92:D92)</f>
        <v>1552.2239999999999</v>
      </c>
      <c r="F92" s="37" t="s">
        <v>55</v>
      </c>
    </row>
    <row r="93" spans="1:6">
      <c r="A93" s="53" t="s">
        <v>56</v>
      </c>
      <c r="B93" s="50">
        <v>46055</v>
      </c>
      <c r="C93" s="50">
        <f>B93*0.5</f>
        <v>23027.5</v>
      </c>
      <c r="D93" s="50">
        <f>B93*0.2</f>
        <v>9211</v>
      </c>
      <c r="E93" s="47">
        <f t="shared" si="0"/>
        <v>32238.5</v>
      </c>
      <c r="F93" s="37" t="s">
        <v>55</v>
      </c>
    </row>
    <row r="94" spans="1:6">
      <c r="A94" s="53" t="s">
        <v>57</v>
      </c>
      <c r="B94" s="50">
        <v>9021</v>
      </c>
      <c r="C94" s="50">
        <f>B94*0.7</f>
        <v>6314.7</v>
      </c>
      <c r="D94" s="50">
        <f>B94*0.4</f>
        <v>3608.4</v>
      </c>
      <c r="E94" s="47">
        <f t="shared" si="0"/>
        <v>9923.1</v>
      </c>
      <c r="F94" s="37" t="s">
        <v>55</v>
      </c>
    </row>
    <row r="95" spans="1:6">
      <c r="A95" s="53" t="s">
        <v>58</v>
      </c>
      <c r="B95" s="50">
        <v>49793</v>
      </c>
      <c r="C95" s="50">
        <f>B95*0.9</f>
        <v>44813.700000000004</v>
      </c>
      <c r="D95" s="50">
        <f>B95*0.57</f>
        <v>28382.01</v>
      </c>
      <c r="E95" s="47">
        <f t="shared" si="0"/>
        <v>73195.710000000006</v>
      </c>
      <c r="F95" s="37" t="s">
        <v>59</v>
      </c>
    </row>
    <row r="96" spans="1:6">
      <c r="A96" s="53" t="s">
        <v>60</v>
      </c>
      <c r="B96" s="50">
        <v>7505</v>
      </c>
      <c r="C96" s="50">
        <f>B96*1.1</f>
        <v>8255.5</v>
      </c>
      <c r="D96" s="50">
        <f>B96*0.7+B96</f>
        <v>12758.5</v>
      </c>
      <c r="E96" s="47">
        <f t="shared" si="0"/>
        <v>21014</v>
      </c>
      <c r="F96" s="37" t="s">
        <v>61</v>
      </c>
    </row>
    <row r="97" spans="1:6">
      <c r="A97" s="53" t="s">
        <v>62</v>
      </c>
      <c r="B97" s="50">
        <v>1619</v>
      </c>
      <c r="C97" s="50">
        <f>1100*0.3</f>
        <v>330</v>
      </c>
      <c r="D97" s="50">
        <f>360*0.3</f>
        <v>108</v>
      </c>
      <c r="E97" s="47">
        <f t="shared" si="0"/>
        <v>438</v>
      </c>
      <c r="F97" s="54" t="s">
        <v>63</v>
      </c>
    </row>
    <row r="98" spans="1:6">
      <c r="A98" s="53" t="s">
        <v>23</v>
      </c>
      <c r="B98" s="50">
        <v>2222</v>
      </c>
      <c r="C98" s="50">
        <v>90</v>
      </c>
      <c r="D98" s="50">
        <v>30</v>
      </c>
      <c r="E98" s="47">
        <f t="shared" si="0"/>
        <v>120</v>
      </c>
      <c r="F98" s="54"/>
    </row>
    <row r="99" spans="1:6">
      <c r="A99" s="53" t="s">
        <v>64</v>
      </c>
      <c r="B99" s="50">
        <v>14412</v>
      </c>
      <c r="C99" s="50">
        <f>B99*1.25*0.8</f>
        <v>14412</v>
      </c>
      <c r="D99" s="50">
        <f>B99*1.5*0.8</f>
        <v>17294.400000000001</v>
      </c>
      <c r="E99" s="47">
        <f t="shared" si="0"/>
        <v>31706.400000000001</v>
      </c>
      <c r="F99" s="54" t="s">
        <v>65</v>
      </c>
    </row>
    <row r="100" spans="1:6">
      <c r="A100" s="85" t="s">
        <v>66</v>
      </c>
      <c r="B100" s="86">
        <v>2470</v>
      </c>
      <c r="C100" s="86"/>
      <c r="D100" s="86"/>
      <c r="E100" s="87">
        <f t="shared" si="0"/>
        <v>0</v>
      </c>
      <c r="F100" s="88"/>
    </row>
    <row r="101" spans="1:6" ht="13.5" thickBot="1">
      <c r="A101" s="41" t="s">
        <v>10</v>
      </c>
      <c r="B101" s="42">
        <f>SUM(B92:B100)</f>
        <v>136745</v>
      </c>
      <c r="C101" s="42">
        <f>SUM(C92:C100)</f>
        <v>98593.16</v>
      </c>
      <c r="D101" s="42">
        <f>SUM(D92:D100)</f>
        <v>71594.774000000005</v>
      </c>
      <c r="E101" s="42">
        <f>SUM(E92:E100)</f>
        <v>170187.93400000001</v>
      </c>
      <c r="F101" s="43"/>
    </row>
    <row r="102" spans="1:6" ht="13.5" thickTop="1">
      <c r="A102" s="17" t="s">
        <v>22</v>
      </c>
      <c r="E102">
        <f>40591+47082+3214</f>
        <v>90887</v>
      </c>
    </row>
    <row r="105" spans="1:6">
      <c r="A105" t="s">
        <v>26</v>
      </c>
      <c r="B105" s="52" t="s">
        <v>69</v>
      </c>
    </row>
    <row r="107" spans="1:6">
      <c r="A107" t="s">
        <v>29</v>
      </c>
      <c r="B107" t="s">
        <v>70</v>
      </c>
      <c r="E107" t="s">
        <v>40</v>
      </c>
    </row>
    <row r="109" spans="1:6" ht="13.5" thickBot="1"/>
    <row r="110" spans="1:6" ht="13.5" thickTop="1">
      <c r="A110" s="31" t="s">
        <v>14</v>
      </c>
      <c r="B110" s="32" t="s">
        <v>31</v>
      </c>
      <c r="C110" s="99" t="s">
        <v>32</v>
      </c>
      <c r="D110" s="99"/>
      <c r="E110" s="99"/>
      <c r="F110" s="33" t="s">
        <v>33</v>
      </c>
    </row>
    <row r="111" spans="1:6">
      <c r="A111" s="34"/>
      <c r="B111" s="35"/>
      <c r="C111" s="36" t="s">
        <v>17</v>
      </c>
      <c r="D111" s="36" t="s">
        <v>18</v>
      </c>
      <c r="E111" s="36" t="s">
        <v>10</v>
      </c>
      <c r="F111" s="37"/>
    </row>
    <row r="112" spans="1:6">
      <c r="A112" s="34" t="s">
        <v>20</v>
      </c>
      <c r="B112" s="47">
        <v>113810</v>
      </c>
      <c r="C112" s="47">
        <f>452*(150)</f>
        <v>67800</v>
      </c>
      <c r="D112" s="47">
        <f>452*80</f>
        <v>36160</v>
      </c>
      <c r="E112" s="47">
        <f>SUM(C112:D112)</f>
        <v>103960</v>
      </c>
      <c r="F112" s="37" t="s">
        <v>71</v>
      </c>
    </row>
    <row r="113" spans="1:7">
      <c r="A113" s="53" t="s">
        <v>72</v>
      </c>
      <c r="B113" s="50">
        <v>4110</v>
      </c>
      <c r="C113" s="50">
        <f>B113*0.5</f>
        <v>2055</v>
      </c>
      <c r="D113" s="50">
        <f>B113*0.7</f>
        <v>2877</v>
      </c>
      <c r="E113" s="47">
        <f>SUM(C113:D113)</f>
        <v>4932</v>
      </c>
      <c r="F113" s="54"/>
    </row>
    <row r="114" spans="1:7" ht="13.5" thickBot="1">
      <c r="A114" s="41" t="s">
        <v>10</v>
      </c>
      <c r="B114" s="42">
        <f>SUM(B112:B113)</f>
        <v>117920</v>
      </c>
      <c r="C114" s="42">
        <f>SUM(C112:C113)</f>
        <v>69855</v>
      </c>
      <c r="D114" s="42">
        <f>SUM(D112:D113)</f>
        <v>39037</v>
      </c>
      <c r="E114" s="42">
        <f>SUM(E112:E113)</f>
        <v>108892</v>
      </c>
      <c r="F114" s="43"/>
    </row>
    <row r="115" spans="1:7" ht="13.5" thickTop="1">
      <c r="A115" s="17" t="s">
        <v>22</v>
      </c>
      <c r="E115">
        <v>80600</v>
      </c>
    </row>
    <row r="120" spans="1:7" ht="15.75">
      <c r="A120" s="60" t="s">
        <v>73</v>
      </c>
    </row>
    <row r="121" spans="1:7" ht="13.5" thickBot="1"/>
    <row r="122" spans="1:7" ht="13.5" thickTop="1">
      <c r="A122" s="31" t="s">
        <v>14</v>
      </c>
      <c r="B122" s="32" t="s">
        <v>31</v>
      </c>
      <c r="C122" s="100" t="s">
        <v>32</v>
      </c>
      <c r="D122" s="101"/>
      <c r="E122" s="101"/>
      <c r="F122" s="102"/>
      <c r="G122" s="33" t="s">
        <v>33</v>
      </c>
    </row>
    <row r="123" spans="1:7">
      <c r="A123" s="34"/>
      <c r="B123" s="35"/>
      <c r="C123" s="36" t="s">
        <v>17</v>
      </c>
      <c r="D123" s="36" t="s">
        <v>18</v>
      </c>
      <c r="E123" s="36" t="s">
        <v>10</v>
      </c>
      <c r="F123" s="36" t="s">
        <v>80</v>
      </c>
      <c r="G123" s="37"/>
    </row>
    <row r="124" spans="1:7">
      <c r="A124" s="34" t="s">
        <v>15</v>
      </c>
      <c r="B124" s="47">
        <f>B13+B40+B53+B67+B68+B69+B80+B92+B93+B94+B95+B96+B112</f>
        <v>558062</v>
      </c>
      <c r="C124" s="47">
        <f>C13+C40+C53+C67+C68+C69+C80+C92+C93+C94+C95+C96+C112</f>
        <v>348031.16000000003</v>
      </c>
      <c r="D124" s="47">
        <f>D13+D40+D53+D67+D68+D69+D80+D92+D93+D94+D95+D96+D112</f>
        <v>142942.97399999999</v>
      </c>
      <c r="E124" s="47">
        <f>E13+E40+E53+E67+E68+E69+E80+E92+E93+E94+E95+E96+E112</f>
        <v>490974.13400000002</v>
      </c>
      <c r="F124" s="47">
        <f>E124*0.9</f>
        <v>441876.7206</v>
      </c>
      <c r="G124" s="37" t="s">
        <v>79</v>
      </c>
    </row>
    <row r="125" spans="1:7">
      <c r="A125" s="34" t="s">
        <v>41</v>
      </c>
      <c r="B125" s="47">
        <f t="shared" ref="B125:E126" si="1">B27</f>
        <v>4230</v>
      </c>
      <c r="C125" s="47">
        <f t="shared" si="1"/>
        <v>7191</v>
      </c>
      <c r="D125" s="47">
        <f t="shared" si="1"/>
        <v>4230</v>
      </c>
      <c r="E125" s="47">
        <f t="shared" si="1"/>
        <v>11421</v>
      </c>
      <c r="F125" s="47">
        <f t="shared" ref="F125:F130" si="2">E125*0.9</f>
        <v>10278.9</v>
      </c>
      <c r="G125" s="37" t="s">
        <v>79</v>
      </c>
    </row>
    <row r="126" spans="1:7">
      <c r="A126" s="34" t="s">
        <v>24</v>
      </c>
      <c r="B126" s="47">
        <f t="shared" si="1"/>
        <v>30000</v>
      </c>
      <c r="C126" s="47">
        <f t="shared" si="1"/>
        <v>42000</v>
      </c>
      <c r="D126" s="47">
        <f t="shared" si="1"/>
        <v>30000</v>
      </c>
      <c r="E126" s="47">
        <f t="shared" si="1"/>
        <v>72000</v>
      </c>
      <c r="F126" s="47">
        <f t="shared" si="2"/>
        <v>64800</v>
      </c>
      <c r="G126" s="37" t="s">
        <v>79</v>
      </c>
    </row>
    <row r="127" spans="1:7">
      <c r="A127" s="34" t="s">
        <v>49</v>
      </c>
      <c r="B127" s="47">
        <f>B54</f>
        <v>700</v>
      </c>
      <c r="C127" s="47">
        <f>C54</f>
        <v>280</v>
      </c>
      <c r="D127" s="47">
        <f>D54</f>
        <v>140</v>
      </c>
      <c r="E127" s="47">
        <f>E54</f>
        <v>420</v>
      </c>
      <c r="F127" s="47">
        <f t="shared" si="2"/>
        <v>378</v>
      </c>
      <c r="G127" s="37" t="s">
        <v>79</v>
      </c>
    </row>
    <row r="128" spans="1:7">
      <c r="A128" s="34" t="s">
        <v>62</v>
      </c>
      <c r="B128" s="47">
        <f>B97</f>
        <v>1619</v>
      </c>
      <c r="C128" s="47">
        <f>C97</f>
        <v>330</v>
      </c>
      <c r="D128" s="47">
        <f>D97</f>
        <v>108</v>
      </c>
      <c r="E128" s="47">
        <f>E97</f>
        <v>438</v>
      </c>
      <c r="F128" s="47">
        <f t="shared" si="2"/>
        <v>394.2</v>
      </c>
      <c r="G128" s="37" t="s">
        <v>79</v>
      </c>
    </row>
    <row r="129" spans="1:7">
      <c r="A129" s="34" t="s">
        <v>23</v>
      </c>
      <c r="B129" s="47">
        <f>B98+B113</f>
        <v>6332</v>
      </c>
      <c r="C129" s="47">
        <f>C98+C113</f>
        <v>2145</v>
      </c>
      <c r="D129" s="47">
        <f>D98+D113</f>
        <v>2907</v>
      </c>
      <c r="E129" s="47">
        <f>E98+E113</f>
        <v>5052</v>
      </c>
      <c r="F129" s="47">
        <f t="shared" si="2"/>
        <v>4546.8</v>
      </c>
      <c r="G129" s="37" t="s">
        <v>79</v>
      </c>
    </row>
    <row r="130" spans="1:7">
      <c r="A130" s="34" t="s">
        <v>64</v>
      </c>
      <c r="B130" s="47">
        <f t="shared" ref="B130:E130" si="3">B99</f>
        <v>14412</v>
      </c>
      <c r="C130" s="47">
        <f t="shared" si="3"/>
        <v>14412</v>
      </c>
      <c r="D130" s="47">
        <f t="shared" si="3"/>
        <v>17294.400000000001</v>
      </c>
      <c r="E130" s="47">
        <f t="shared" si="3"/>
        <v>31706.400000000001</v>
      </c>
      <c r="F130" s="47">
        <f t="shared" si="2"/>
        <v>28535.760000000002</v>
      </c>
      <c r="G130" s="37" t="s">
        <v>79</v>
      </c>
    </row>
    <row r="131" spans="1:7" ht="13.5" thickBot="1">
      <c r="A131" s="53" t="s">
        <v>66</v>
      </c>
      <c r="B131" s="50">
        <f>B100</f>
        <v>2470</v>
      </c>
      <c r="C131" s="50">
        <f>C100</f>
        <v>0</v>
      </c>
      <c r="D131" s="50">
        <f>D100</f>
        <v>0</v>
      </c>
      <c r="E131" s="50">
        <f>E100</f>
        <v>0</v>
      </c>
      <c r="F131" s="50"/>
      <c r="G131" s="54"/>
    </row>
    <row r="132" spans="1:7" ht="14.25" thickTop="1" thickBot="1">
      <c r="A132" s="61" t="s">
        <v>10</v>
      </c>
      <c r="B132" s="62">
        <f>SUM(B124:B131)</f>
        <v>617825</v>
      </c>
      <c r="C132" s="62">
        <f>SUM(C124:C131)</f>
        <v>414389.16000000003</v>
      </c>
      <c r="D132" s="62">
        <f>SUM(D124:D131)</f>
        <v>197622.37399999998</v>
      </c>
      <c r="E132" s="62">
        <f>SUM(E124:E131)</f>
        <v>612011.5340000001</v>
      </c>
      <c r="F132" s="62">
        <f>SUM(F124:F131)</f>
        <v>550810.38060000003</v>
      </c>
      <c r="G132" s="63"/>
    </row>
    <row r="133" spans="1:7" ht="13.5" thickTop="1"/>
    <row r="134" spans="1:7">
      <c r="A134" t="s">
        <v>74</v>
      </c>
      <c r="B134">
        <f>E15+E30+E42+E56+E71+E82+E102+E115</f>
        <v>365427</v>
      </c>
    </row>
  </sheetData>
  <mergeCells count="10">
    <mergeCell ref="C78:E78"/>
    <mergeCell ref="C90:E90"/>
    <mergeCell ref="C110:E110"/>
    <mergeCell ref="C122:F122"/>
    <mergeCell ref="A1:F1"/>
    <mergeCell ref="C10:E10"/>
    <mergeCell ref="C24:E24"/>
    <mergeCell ref="C37:E37"/>
    <mergeCell ref="C50:E50"/>
    <mergeCell ref="C65:E65"/>
  </mergeCells>
  <pageMargins left="0.75" right="0.75" top="1" bottom="1" header="0.5" footer="0.5"/>
  <pageSetup paperSize="9" scale="79" orientation="portrait" verticalDpi="300" r:id="rId1"/>
  <headerFooter alignWithMargins="0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rightToLeft="1" zoomScaleNormal="100" zoomScaleSheetLayoutView="100" workbookViewId="0">
      <selection activeCell="A48" sqref="A48:F110"/>
    </sheetView>
  </sheetViews>
  <sheetFormatPr defaultRowHeight="12.75"/>
  <cols>
    <col min="1" max="1" width="20.42578125" customWidth="1"/>
    <col min="2" max="2" width="11.85546875" customWidth="1"/>
    <col min="3" max="3" width="9.5703125" customWidth="1"/>
    <col min="4" max="4" width="9.85546875" customWidth="1"/>
    <col min="5" max="5" width="12" customWidth="1"/>
    <col min="6" max="6" width="36.85546875" customWidth="1"/>
    <col min="7" max="7" width="26.42578125" customWidth="1"/>
    <col min="8" max="8" width="27.85546875" customWidth="1"/>
  </cols>
  <sheetData>
    <row r="1" spans="1:6" ht="18">
      <c r="A1" s="103" t="s">
        <v>25</v>
      </c>
      <c r="B1" s="103"/>
      <c r="C1" s="103"/>
      <c r="D1" s="103"/>
      <c r="E1" s="103"/>
      <c r="F1" s="103"/>
    </row>
    <row r="5" spans="1:6">
      <c r="A5" t="s">
        <v>26</v>
      </c>
      <c r="B5" t="s">
        <v>27</v>
      </c>
      <c r="D5" t="s">
        <v>28</v>
      </c>
    </row>
    <row r="7" spans="1:6">
      <c r="A7" t="s">
        <v>29</v>
      </c>
      <c r="B7" t="s">
        <v>30</v>
      </c>
    </row>
    <row r="9" spans="1:6" ht="13.5" thickBot="1"/>
    <row r="10" spans="1:6" ht="13.5" thickTop="1">
      <c r="A10" s="31" t="s">
        <v>14</v>
      </c>
      <c r="B10" s="32" t="s">
        <v>31</v>
      </c>
      <c r="C10" s="99" t="s">
        <v>32</v>
      </c>
      <c r="D10" s="99"/>
      <c r="E10" s="99"/>
      <c r="F10" s="33" t="s">
        <v>33</v>
      </c>
    </row>
    <row r="11" spans="1:6">
      <c r="A11" s="34"/>
      <c r="B11" s="35"/>
      <c r="C11" s="36" t="s">
        <v>17</v>
      </c>
      <c r="D11" s="36" t="s">
        <v>34</v>
      </c>
      <c r="E11" s="36" t="s">
        <v>10</v>
      </c>
      <c r="F11" s="37"/>
    </row>
    <row r="12" spans="1:6">
      <c r="A12" s="34"/>
      <c r="B12" s="38"/>
      <c r="C12" s="36"/>
      <c r="D12" s="36"/>
      <c r="E12" s="36"/>
      <c r="F12" s="37"/>
    </row>
    <row r="13" spans="1:6">
      <c r="A13" s="34" t="s">
        <v>35</v>
      </c>
      <c r="B13" s="39">
        <v>114490</v>
      </c>
      <c r="C13" s="39">
        <f>B13*0.4</f>
        <v>45796</v>
      </c>
      <c r="D13" s="40">
        <f>19.5*300</f>
        <v>5850</v>
      </c>
      <c r="E13" s="39">
        <f>D13+C13</f>
        <v>51646</v>
      </c>
      <c r="F13" s="37" t="s">
        <v>36</v>
      </c>
    </row>
    <row r="14" spans="1:6" ht="13.5" thickBot="1">
      <c r="A14" s="41" t="s">
        <v>10</v>
      </c>
      <c r="B14" s="42">
        <f>SUM(B13:B13)</f>
        <v>114490</v>
      </c>
      <c r="C14" s="42">
        <f>SUM(C13:C13)</f>
        <v>45796</v>
      </c>
      <c r="D14" s="42">
        <f>SUM(D13:D13)</f>
        <v>5850</v>
      </c>
      <c r="E14" s="42">
        <f>SUM(E13:E13)</f>
        <v>51646</v>
      </c>
      <c r="F14" s="43"/>
    </row>
    <row r="15" spans="1:6" ht="13.5" thickTop="1">
      <c r="A15" s="44" t="s">
        <v>22</v>
      </c>
      <c r="E15">
        <v>36990</v>
      </c>
    </row>
    <row r="16" spans="1:6">
      <c r="A16" s="45" t="s">
        <v>37</v>
      </c>
      <c r="E16">
        <v>24480</v>
      </c>
    </row>
    <row r="17" spans="1:6">
      <c r="A17" s="45"/>
    </row>
    <row r="20" spans="1:6">
      <c r="A20" t="s">
        <v>26</v>
      </c>
      <c r="B20" t="s">
        <v>38</v>
      </c>
    </row>
    <row r="22" spans="1:6">
      <c r="A22" t="s">
        <v>29</v>
      </c>
      <c r="B22" t="s">
        <v>39</v>
      </c>
      <c r="E22" t="s">
        <v>40</v>
      </c>
    </row>
    <row r="24" spans="1:6" ht="13.5" thickBot="1"/>
    <row r="25" spans="1:6" ht="13.5" thickTop="1">
      <c r="A25" s="31" t="s">
        <v>14</v>
      </c>
      <c r="B25" s="32" t="s">
        <v>31</v>
      </c>
      <c r="C25" s="99" t="s">
        <v>32</v>
      </c>
      <c r="D25" s="99"/>
      <c r="E25" s="99"/>
      <c r="F25" s="33" t="s">
        <v>33</v>
      </c>
    </row>
    <row r="26" spans="1:6">
      <c r="A26" s="34"/>
      <c r="B26" s="35"/>
      <c r="C26" s="36" t="s">
        <v>17</v>
      </c>
      <c r="D26" s="36" t="s">
        <v>18</v>
      </c>
      <c r="E26" s="36" t="s">
        <v>10</v>
      </c>
      <c r="F26" s="37"/>
    </row>
    <row r="27" spans="1:6">
      <c r="A27" s="34"/>
      <c r="B27" s="35"/>
      <c r="C27" s="36"/>
      <c r="D27" s="36"/>
      <c r="E27" s="36"/>
      <c r="F27" s="37"/>
    </row>
    <row r="28" spans="1:6" ht="14.25" customHeight="1">
      <c r="A28" s="46" t="s">
        <v>41</v>
      </c>
      <c r="B28" s="47">
        <v>4230</v>
      </c>
      <c r="C28" s="47">
        <f>B28*1.7</f>
        <v>7191</v>
      </c>
      <c r="D28" s="47">
        <f>B28*1</f>
        <v>4230</v>
      </c>
      <c r="E28" s="47">
        <f>D28+C28</f>
        <v>11421</v>
      </c>
      <c r="F28" s="48"/>
    </row>
    <row r="29" spans="1:6" ht="14.25" customHeight="1">
      <c r="A29" s="49" t="s">
        <v>24</v>
      </c>
      <c r="B29" s="50">
        <v>30000</v>
      </c>
      <c r="C29" s="50">
        <f>B29*1.4</f>
        <v>42000</v>
      </c>
      <c r="D29" s="50">
        <f>B29*1</f>
        <v>30000</v>
      </c>
      <c r="E29" s="47">
        <f>D29+C29</f>
        <v>72000</v>
      </c>
      <c r="F29" s="51"/>
    </row>
    <row r="30" spans="1:6" ht="13.5" thickBot="1">
      <c r="A30" s="41" t="s">
        <v>10</v>
      </c>
      <c r="B30" s="42">
        <f>SUM(B28:B29)</f>
        <v>34230</v>
      </c>
      <c r="C30" s="42">
        <f>SUM(C28:C29)</f>
        <v>49191</v>
      </c>
      <c r="D30" s="42">
        <f>SUM(D28:D29)</f>
        <v>34230</v>
      </c>
      <c r="E30" s="42">
        <f>SUM(E28:E29)</f>
        <v>83421</v>
      </c>
      <c r="F30" s="43"/>
    </row>
    <row r="31" spans="1:6" ht="13.5" thickTop="1">
      <c r="A31" s="44" t="s">
        <v>22</v>
      </c>
      <c r="E31">
        <v>15100</v>
      </c>
    </row>
    <row r="32" spans="1:6">
      <c r="A32" s="45" t="s">
        <v>37</v>
      </c>
      <c r="E32">
        <v>12500</v>
      </c>
    </row>
    <row r="34" spans="1:6">
      <c r="A34" s="52" t="s">
        <v>26</v>
      </c>
      <c r="B34" s="52" t="s">
        <v>42</v>
      </c>
    </row>
    <row r="36" spans="1:6">
      <c r="A36" t="s">
        <v>29</v>
      </c>
      <c r="B36" t="s">
        <v>43</v>
      </c>
      <c r="E36" t="s">
        <v>40</v>
      </c>
    </row>
    <row r="38" spans="1:6" ht="13.5" thickBot="1"/>
    <row r="39" spans="1:6" ht="13.5" thickTop="1">
      <c r="A39" s="31" t="s">
        <v>14</v>
      </c>
      <c r="B39" s="32" t="s">
        <v>31</v>
      </c>
      <c r="C39" s="99" t="s">
        <v>32</v>
      </c>
      <c r="D39" s="99"/>
      <c r="E39" s="99"/>
      <c r="F39" s="33" t="s">
        <v>33</v>
      </c>
    </row>
    <row r="40" spans="1:6">
      <c r="A40" s="34"/>
      <c r="B40" s="35"/>
      <c r="C40" s="36" t="s">
        <v>17</v>
      </c>
      <c r="D40" s="36" t="s">
        <v>18</v>
      </c>
      <c r="E40" s="36" t="s">
        <v>10</v>
      </c>
      <c r="F40" s="37"/>
    </row>
    <row r="41" spans="1:6">
      <c r="A41" s="34"/>
      <c r="B41" s="35"/>
      <c r="C41" s="36"/>
      <c r="D41" s="36"/>
      <c r="E41" s="36"/>
      <c r="F41" s="37"/>
    </row>
    <row r="42" spans="1:6" ht="14.25" customHeight="1">
      <c r="A42" s="46" t="s">
        <v>44</v>
      </c>
      <c r="B42" s="47">
        <v>74500</v>
      </c>
      <c r="C42" s="47">
        <f>B42*0.6</f>
        <v>44700</v>
      </c>
      <c r="D42" s="47">
        <f>74.4*4*6</f>
        <v>1785.6000000000001</v>
      </c>
      <c r="E42" s="47">
        <f>D42+C42</f>
        <v>46485.599999999999</v>
      </c>
      <c r="F42" s="48" t="s">
        <v>45</v>
      </c>
    </row>
    <row r="43" spans="1:6" ht="13.5" thickBot="1">
      <c r="A43" s="41" t="s">
        <v>10</v>
      </c>
      <c r="B43" s="42">
        <f>SUM(B42:B42)</f>
        <v>74500</v>
      </c>
      <c r="C43" s="42">
        <f>SUM(C42:C42)</f>
        <v>44700</v>
      </c>
      <c r="D43" s="42">
        <f>SUM(D42:D42)</f>
        <v>1785.6000000000001</v>
      </c>
      <c r="E43" s="42">
        <f>SUM(E42:E42)</f>
        <v>46485.599999999999</v>
      </c>
      <c r="F43" s="43"/>
    </row>
    <row r="44" spans="1:6" ht="13.5" thickTop="1">
      <c r="A44" s="44" t="s">
        <v>22</v>
      </c>
      <c r="E44">
        <v>36300</v>
      </c>
    </row>
    <row r="45" spans="1:6">
      <c r="A45" s="45" t="s">
        <v>37</v>
      </c>
      <c r="E45">
        <v>5200</v>
      </c>
    </row>
    <row r="48" spans="1:6">
      <c r="A48" t="s">
        <v>26</v>
      </c>
      <c r="B48" s="52" t="s">
        <v>46</v>
      </c>
    </row>
    <row r="50" spans="1:6">
      <c r="A50" t="s">
        <v>29</v>
      </c>
      <c r="B50" t="s">
        <v>47</v>
      </c>
      <c r="E50" t="s">
        <v>40</v>
      </c>
      <c r="F50" t="s">
        <v>48</v>
      </c>
    </row>
    <row r="52" spans="1:6" ht="13.5" thickBot="1"/>
    <row r="53" spans="1:6" ht="13.5" thickTop="1">
      <c r="A53" s="31" t="s">
        <v>14</v>
      </c>
      <c r="B53" s="32" t="s">
        <v>31</v>
      </c>
      <c r="C53" s="99" t="s">
        <v>32</v>
      </c>
      <c r="D53" s="99"/>
      <c r="E53" s="99"/>
      <c r="F53" s="33" t="s">
        <v>33</v>
      </c>
    </row>
    <row r="54" spans="1:6">
      <c r="A54" s="34"/>
      <c r="B54" s="35"/>
      <c r="C54" s="36" t="s">
        <v>17</v>
      </c>
      <c r="D54" s="36" t="s">
        <v>18</v>
      </c>
      <c r="E54" s="36" t="s">
        <v>10</v>
      </c>
      <c r="F54" s="37"/>
    </row>
    <row r="55" spans="1:6">
      <c r="A55" s="34"/>
      <c r="B55" s="35"/>
      <c r="C55" s="36"/>
      <c r="D55" s="36"/>
      <c r="E55" s="36"/>
      <c r="F55" s="37"/>
    </row>
    <row r="56" spans="1:6">
      <c r="A56" s="34" t="s">
        <v>44</v>
      </c>
      <c r="B56" s="47">
        <v>56280</v>
      </c>
      <c r="C56" s="47">
        <f>B56*0.6</f>
        <v>33768</v>
      </c>
      <c r="D56" s="47">
        <f>B56*0.15</f>
        <v>8442</v>
      </c>
      <c r="E56" s="47">
        <f>SUM(C56:D56)</f>
        <v>42210</v>
      </c>
      <c r="F56" s="37"/>
    </row>
    <row r="57" spans="1:6" ht="13.5" customHeight="1">
      <c r="A57" s="46" t="s">
        <v>49</v>
      </c>
      <c r="B57" s="47">
        <v>700</v>
      </c>
      <c r="C57" s="47">
        <f>B57*0.4</f>
        <v>280</v>
      </c>
      <c r="D57" s="47">
        <f>B57*0.2</f>
        <v>140</v>
      </c>
      <c r="E57" s="47">
        <f>SUM(C57:D57)</f>
        <v>420</v>
      </c>
      <c r="F57" s="48"/>
    </row>
    <row r="58" spans="1:6" ht="13.5" thickBot="1">
      <c r="A58" s="41" t="s">
        <v>10</v>
      </c>
      <c r="B58" s="42">
        <f>SUM(B56:B57)</f>
        <v>56980</v>
      </c>
      <c r="C58" s="42">
        <f>SUM(C56:C57)</f>
        <v>34048</v>
      </c>
      <c r="D58" s="42">
        <f>SUM(D56:D57)</f>
        <v>8582</v>
      </c>
      <c r="E58" s="42">
        <f>SUM(E56:E57)</f>
        <v>42630</v>
      </c>
      <c r="F58" s="43"/>
    </row>
    <row r="59" spans="1:6" ht="13.5" thickTop="1">
      <c r="A59" s="44" t="s">
        <v>22</v>
      </c>
      <c r="E59">
        <v>25450</v>
      </c>
    </row>
    <row r="60" spans="1:6">
      <c r="A60" s="45" t="s">
        <v>37</v>
      </c>
      <c r="E60">
        <v>30120</v>
      </c>
    </row>
    <row r="62" spans="1:6" ht="9.75" customHeight="1"/>
    <row r="64" spans="1:6">
      <c r="A64" t="s">
        <v>26</v>
      </c>
      <c r="B64" s="52" t="s">
        <v>50</v>
      </c>
    </row>
    <row r="66" spans="1:6">
      <c r="A66" t="s">
        <v>29</v>
      </c>
      <c r="B66" t="s">
        <v>51</v>
      </c>
      <c r="E66" t="s">
        <v>40</v>
      </c>
    </row>
    <row r="68" spans="1:6" ht="13.5" thickBot="1"/>
    <row r="69" spans="1:6" ht="13.5" thickTop="1">
      <c r="A69" s="31" t="s">
        <v>14</v>
      </c>
      <c r="B69" s="32" t="s">
        <v>31</v>
      </c>
      <c r="C69" s="99" t="s">
        <v>32</v>
      </c>
      <c r="D69" s="99"/>
      <c r="E69" s="99"/>
      <c r="F69" s="33" t="s">
        <v>33</v>
      </c>
    </row>
    <row r="70" spans="1:6">
      <c r="A70" s="34"/>
      <c r="B70" s="35"/>
      <c r="C70" s="36" t="s">
        <v>17</v>
      </c>
      <c r="D70" s="36" t="s">
        <v>18</v>
      </c>
      <c r="E70" s="36" t="s">
        <v>10</v>
      </c>
      <c r="F70" s="37"/>
    </row>
    <row r="71" spans="1:6">
      <c r="A71" s="34" t="s">
        <v>19</v>
      </c>
      <c r="B71" s="47">
        <v>9650</v>
      </c>
      <c r="C71" s="47">
        <f>B71*0.7</f>
        <v>6755</v>
      </c>
      <c r="D71" s="47">
        <f>B71*0.34</f>
        <v>3281.0000000000005</v>
      </c>
      <c r="E71" s="47">
        <f>SUM(C71:D71)</f>
        <v>10036</v>
      </c>
      <c r="F71" s="37"/>
    </row>
    <row r="72" spans="1:6">
      <c r="A72" s="34" t="s">
        <v>20</v>
      </c>
      <c r="B72" s="47">
        <v>47750</v>
      </c>
      <c r="C72" s="47">
        <f>B72*0.9</f>
        <v>42975</v>
      </c>
      <c r="D72" s="47">
        <f>B72*0.44</f>
        <v>21010</v>
      </c>
      <c r="E72" s="47">
        <f>SUM(C72:D72)</f>
        <v>63985</v>
      </c>
      <c r="F72" s="37"/>
    </row>
    <row r="73" spans="1:6">
      <c r="A73" s="34" t="s">
        <v>21</v>
      </c>
      <c r="B73" s="47">
        <v>10200</v>
      </c>
      <c r="C73" s="47">
        <f>B73*1.3</f>
        <v>13260</v>
      </c>
      <c r="D73" s="47">
        <f>B73*0.9</f>
        <v>9180</v>
      </c>
      <c r="E73" s="47">
        <f>SUM(C73:D73)</f>
        <v>22440</v>
      </c>
      <c r="F73" s="48"/>
    </row>
    <row r="74" spans="1:6" ht="13.5" thickBot="1">
      <c r="A74" s="41" t="s">
        <v>10</v>
      </c>
      <c r="B74" s="42">
        <f>SUM(B71:B73)</f>
        <v>67600</v>
      </c>
      <c r="C74" s="42">
        <f>SUM(C71:C73)</f>
        <v>62990</v>
      </c>
      <c r="D74" s="42">
        <f>SUM(D71:D73)</f>
        <v>33471</v>
      </c>
      <c r="E74" s="42">
        <f>SUM(E71:E73)</f>
        <v>96461</v>
      </c>
      <c r="F74" s="43"/>
    </row>
    <row r="75" spans="1:6" ht="13.5" thickTop="1">
      <c r="A75" s="44" t="s">
        <v>22</v>
      </c>
      <c r="E75">
        <f>74190+810</f>
        <v>75000</v>
      </c>
    </row>
    <row r="76" spans="1:6">
      <c r="A76" s="44" t="s">
        <v>16</v>
      </c>
      <c r="E76">
        <v>65200</v>
      </c>
    </row>
    <row r="78" spans="1:6">
      <c r="A78" t="s">
        <v>26</v>
      </c>
      <c r="B78" s="52" t="s">
        <v>52</v>
      </c>
    </row>
    <row r="80" spans="1:6">
      <c r="A80" t="s">
        <v>29</v>
      </c>
      <c r="B80" t="s">
        <v>53</v>
      </c>
      <c r="E80" t="s">
        <v>40</v>
      </c>
    </row>
    <row r="82" spans="1:6" ht="13.5" thickBot="1"/>
    <row r="83" spans="1:6" ht="13.5" thickTop="1">
      <c r="A83" s="31" t="s">
        <v>14</v>
      </c>
      <c r="B83" s="32" t="s">
        <v>31</v>
      </c>
      <c r="C83" s="99" t="s">
        <v>32</v>
      </c>
      <c r="D83" s="99"/>
      <c r="E83" s="99"/>
      <c r="F83" s="33" t="s">
        <v>33</v>
      </c>
    </row>
    <row r="84" spans="1:6">
      <c r="A84" s="34"/>
      <c r="B84" s="35"/>
      <c r="C84" s="36" t="s">
        <v>17</v>
      </c>
      <c r="D84" s="36" t="s">
        <v>18</v>
      </c>
      <c r="E84" s="36" t="s">
        <v>10</v>
      </c>
      <c r="F84" s="37"/>
    </row>
    <row r="85" spans="1:6">
      <c r="A85" s="34" t="s">
        <v>20</v>
      </c>
      <c r="B85" s="47">
        <v>15360</v>
      </c>
      <c r="C85" s="47">
        <f>B85*0.6</f>
        <v>9216</v>
      </c>
      <c r="D85" s="47">
        <f>B85*0.2</f>
        <v>3072</v>
      </c>
      <c r="E85" s="47">
        <f>SUM(C85:D85)</f>
        <v>12288</v>
      </c>
      <c r="F85" s="37"/>
    </row>
    <row r="86" spans="1:6" ht="13.5" thickBot="1">
      <c r="A86" s="41" t="s">
        <v>10</v>
      </c>
      <c r="B86" s="42">
        <f>SUM(B85:B85)</f>
        <v>15360</v>
      </c>
      <c r="C86" s="42">
        <f>SUM(C85:C85)</f>
        <v>9216</v>
      </c>
      <c r="D86" s="42">
        <f>SUM(D85:D85)</f>
        <v>3072</v>
      </c>
      <c r="E86" s="42">
        <f>SUM(E85:E85)</f>
        <v>12288</v>
      </c>
      <c r="F86" s="43"/>
    </row>
    <row r="87" spans="1:6" ht="13.5" thickTop="1">
      <c r="A87" s="17" t="s">
        <v>22</v>
      </c>
      <c r="E87">
        <f>1100+4000</f>
        <v>5100</v>
      </c>
    </row>
    <row r="88" spans="1:6">
      <c r="A88" s="17" t="s">
        <v>16</v>
      </c>
      <c r="E88">
        <f>5140</f>
        <v>5140</v>
      </c>
    </row>
    <row r="91" spans="1:6">
      <c r="A91" t="s">
        <v>26</v>
      </c>
      <c r="B91" s="52" t="s">
        <v>54</v>
      </c>
    </row>
    <row r="93" spans="1:6">
      <c r="A93" t="s">
        <v>29</v>
      </c>
      <c r="B93" t="s">
        <v>53</v>
      </c>
      <c r="E93" t="s">
        <v>40</v>
      </c>
    </row>
    <row r="95" spans="1:6" ht="13.5" thickBot="1"/>
    <row r="96" spans="1:6" ht="13.5" thickTop="1">
      <c r="A96" s="31" t="s">
        <v>14</v>
      </c>
      <c r="B96" s="32" t="s">
        <v>31</v>
      </c>
      <c r="C96" s="99" t="s">
        <v>32</v>
      </c>
      <c r="D96" s="99"/>
      <c r="E96" s="99"/>
      <c r="F96" s="33" t="s">
        <v>33</v>
      </c>
    </row>
    <row r="97" spans="1:6">
      <c r="A97" s="34"/>
      <c r="B97" s="35"/>
      <c r="C97" s="36" t="s">
        <v>17</v>
      </c>
      <c r="D97" s="36" t="s">
        <v>18</v>
      </c>
      <c r="E97" s="36" t="s">
        <v>10</v>
      </c>
      <c r="F97" s="37"/>
    </row>
    <row r="98" spans="1:6">
      <c r="A98" s="34" t="s">
        <v>35</v>
      </c>
      <c r="B98" s="47">
        <v>3648</v>
      </c>
      <c r="C98" s="47">
        <f>B98*0.37</f>
        <v>1349.76</v>
      </c>
      <c r="D98" s="47">
        <f>C98*0.15</f>
        <v>202.464</v>
      </c>
      <c r="E98" s="47">
        <f t="shared" ref="E98:E106" si="0">SUM(C98:D98)</f>
        <v>1552.2239999999999</v>
      </c>
      <c r="F98" s="37" t="s">
        <v>55</v>
      </c>
    </row>
    <row r="99" spans="1:6">
      <c r="A99" s="53" t="s">
        <v>56</v>
      </c>
      <c r="B99" s="50">
        <v>46055</v>
      </c>
      <c r="C99" s="50">
        <f>B99*0.5</f>
        <v>23027.5</v>
      </c>
      <c r="D99" s="50">
        <f>B99*0.2</f>
        <v>9211</v>
      </c>
      <c r="E99" s="47">
        <f t="shared" si="0"/>
        <v>32238.5</v>
      </c>
      <c r="F99" s="37" t="s">
        <v>55</v>
      </c>
    </row>
    <row r="100" spans="1:6">
      <c r="A100" s="53" t="s">
        <v>57</v>
      </c>
      <c r="B100" s="50">
        <v>9021</v>
      </c>
      <c r="C100" s="50">
        <f>B100*0.7</f>
        <v>6314.7</v>
      </c>
      <c r="D100" s="50">
        <f>B100*0.4</f>
        <v>3608.4</v>
      </c>
      <c r="E100" s="47">
        <f t="shared" si="0"/>
        <v>9923.1</v>
      </c>
      <c r="F100" s="37" t="s">
        <v>55</v>
      </c>
    </row>
    <row r="101" spans="1:6">
      <c r="A101" s="53" t="s">
        <v>58</v>
      </c>
      <c r="B101" s="50">
        <v>49793</v>
      </c>
      <c r="C101" s="50">
        <f>B101*0.9</f>
        <v>44813.700000000004</v>
      </c>
      <c r="D101" s="50">
        <f>B101*0.57</f>
        <v>28382.01</v>
      </c>
      <c r="E101" s="47">
        <f t="shared" si="0"/>
        <v>73195.710000000006</v>
      </c>
      <c r="F101" s="37" t="s">
        <v>59</v>
      </c>
    </row>
    <row r="102" spans="1:6">
      <c r="A102" s="53" t="s">
        <v>60</v>
      </c>
      <c r="B102" s="50">
        <v>7505</v>
      </c>
      <c r="C102" s="50">
        <f>B102*1.1</f>
        <v>8255.5</v>
      </c>
      <c r="D102" s="50">
        <f>B102*0.7+B102</f>
        <v>12758.5</v>
      </c>
      <c r="E102" s="47">
        <f t="shared" si="0"/>
        <v>21014</v>
      </c>
      <c r="F102" s="37" t="s">
        <v>61</v>
      </c>
    </row>
    <row r="103" spans="1:6">
      <c r="A103" s="53" t="s">
        <v>62</v>
      </c>
      <c r="B103" s="50">
        <v>1619</v>
      </c>
      <c r="C103" s="50">
        <f>1100*0.3</f>
        <v>330</v>
      </c>
      <c r="D103" s="50">
        <f>360*0.3</f>
        <v>108</v>
      </c>
      <c r="E103" s="47">
        <f t="shared" si="0"/>
        <v>438</v>
      </c>
      <c r="F103" s="54" t="s">
        <v>63</v>
      </c>
    </row>
    <row r="104" spans="1:6">
      <c r="A104" s="53" t="s">
        <v>23</v>
      </c>
      <c r="B104" s="50">
        <v>2222</v>
      </c>
      <c r="C104" s="50">
        <v>90</v>
      </c>
      <c r="D104" s="50">
        <v>30</v>
      </c>
      <c r="E104" s="47">
        <f t="shared" si="0"/>
        <v>120</v>
      </c>
      <c r="F104" s="54"/>
    </row>
    <row r="105" spans="1:6">
      <c r="A105" s="53" t="s">
        <v>64</v>
      </c>
      <c r="B105" s="50">
        <v>14412</v>
      </c>
      <c r="C105" s="50">
        <f>B105*1.25*0.8</f>
        <v>14412</v>
      </c>
      <c r="D105" s="50">
        <f>B105*1.5*0.8</f>
        <v>17294.400000000001</v>
      </c>
      <c r="E105" s="47">
        <f t="shared" si="0"/>
        <v>31706.400000000001</v>
      </c>
      <c r="F105" s="54" t="s">
        <v>65</v>
      </c>
    </row>
    <row r="106" spans="1:6">
      <c r="A106" s="55" t="s">
        <v>66</v>
      </c>
      <c r="B106" s="56">
        <v>2470</v>
      </c>
      <c r="C106" s="56"/>
      <c r="D106" s="56"/>
      <c r="E106" s="57">
        <f t="shared" si="0"/>
        <v>0</v>
      </c>
      <c r="F106" s="58"/>
    </row>
    <row r="107" spans="1:6" ht="13.5" thickBot="1">
      <c r="A107" s="41" t="s">
        <v>10</v>
      </c>
      <c r="B107" s="42">
        <f>SUM(B98:B106)</f>
        <v>136745</v>
      </c>
      <c r="C107" s="42">
        <f>SUM(C98:C106)</f>
        <v>98593.16</v>
      </c>
      <c r="D107" s="42">
        <f>SUM(D98:D106)</f>
        <v>71594.774000000005</v>
      </c>
      <c r="E107" s="42">
        <f>SUM(E98:E106)</f>
        <v>170187.93400000001</v>
      </c>
      <c r="F107" s="43"/>
    </row>
    <row r="108" spans="1:6" ht="13.5" thickTop="1">
      <c r="A108" s="17" t="s">
        <v>22</v>
      </c>
      <c r="E108">
        <f>40591+47082+3214</f>
        <v>90887</v>
      </c>
    </row>
    <row r="109" spans="1:6">
      <c r="A109" s="17" t="s">
        <v>67</v>
      </c>
      <c r="E109">
        <f>49802</f>
        <v>49802</v>
      </c>
    </row>
    <row r="110" spans="1:6">
      <c r="A110" s="17" t="s">
        <v>68</v>
      </c>
      <c r="E110">
        <v>77029</v>
      </c>
    </row>
    <row r="113" spans="1:6">
      <c r="A113" t="s">
        <v>26</v>
      </c>
      <c r="B113" s="52" t="s">
        <v>69</v>
      </c>
    </row>
    <row r="115" spans="1:6">
      <c r="A115" t="s">
        <v>29</v>
      </c>
      <c r="B115" t="s">
        <v>70</v>
      </c>
      <c r="E115" t="s">
        <v>40</v>
      </c>
    </row>
    <row r="117" spans="1:6" ht="13.5" thickBot="1"/>
    <row r="118" spans="1:6" ht="13.5" thickTop="1">
      <c r="A118" s="31" t="s">
        <v>14</v>
      </c>
      <c r="B118" s="32" t="s">
        <v>31</v>
      </c>
      <c r="C118" s="99" t="s">
        <v>32</v>
      </c>
      <c r="D118" s="99"/>
      <c r="E118" s="99"/>
      <c r="F118" s="33" t="s">
        <v>33</v>
      </c>
    </row>
    <row r="119" spans="1:6">
      <c r="A119" s="34"/>
      <c r="B119" s="35"/>
      <c r="C119" s="36" t="s">
        <v>17</v>
      </c>
      <c r="D119" s="36" t="s">
        <v>18</v>
      </c>
      <c r="E119" s="36" t="s">
        <v>10</v>
      </c>
      <c r="F119" s="37"/>
    </row>
    <row r="120" spans="1:6">
      <c r="A120" s="34" t="s">
        <v>20</v>
      </c>
      <c r="B120" s="47">
        <v>113810</v>
      </c>
      <c r="C120" s="47">
        <f>452*(150)</f>
        <v>67800</v>
      </c>
      <c r="D120" s="47">
        <f>452*80</f>
        <v>36160</v>
      </c>
      <c r="E120" s="47">
        <f>SUM(C120:D120)</f>
        <v>103960</v>
      </c>
      <c r="F120" s="37" t="s">
        <v>71</v>
      </c>
    </row>
    <row r="121" spans="1:6">
      <c r="A121" s="53" t="s">
        <v>72</v>
      </c>
      <c r="B121" s="50">
        <v>4110</v>
      </c>
      <c r="C121" s="50">
        <f>B121*0.5</f>
        <v>2055</v>
      </c>
      <c r="D121" s="50">
        <f>B121*0.7</f>
        <v>2877</v>
      </c>
      <c r="E121" s="47">
        <f>SUM(C121:D121)</f>
        <v>4932</v>
      </c>
      <c r="F121" s="54"/>
    </row>
    <row r="122" spans="1:6" ht="13.5" thickBot="1">
      <c r="A122" s="41" t="s">
        <v>10</v>
      </c>
      <c r="B122" s="42">
        <f>SUM(B120:B121)</f>
        <v>117920</v>
      </c>
      <c r="C122" s="42">
        <f>SUM(C120:C121)</f>
        <v>69855</v>
      </c>
      <c r="D122" s="42">
        <f>SUM(D120:D121)</f>
        <v>39037</v>
      </c>
      <c r="E122" s="42">
        <f>SUM(E120:E121)</f>
        <v>108892</v>
      </c>
      <c r="F122" s="43"/>
    </row>
    <row r="123" spans="1:6" ht="13.5" thickTop="1">
      <c r="A123" s="17" t="s">
        <v>22</v>
      </c>
      <c r="E123">
        <v>80600</v>
      </c>
    </row>
    <row r="124" spans="1:6">
      <c r="A124" s="17" t="s">
        <v>16</v>
      </c>
      <c r="B124" s="59">
        <f>B122+B107+B86+B74+B58+B43+B30+B14</f>
        <v>617825</v>
      </c>
      <c r="E124">
        <v>30120</v>
      </c>
    </row>
    <row r="129" spans="1:7" ht="15.75">
      <c r="A129" s="60" t="s">
        <v>73</v>
      </c>
    </row>
    <row r="130" spans="1:7" ht="13.5" thickBot="1"/>
    <row r="131" spans="1:7" ht="13.5" thickTop="1">
      <c r="A131" s="31" t="s">
        <v>14</v>
      </c>
      <c r="B131" s="32" t="s">
        <v>31</v>
      </c>
      <c r="C131" s="100" t="s">
        <v>32</v>
      </c>
      <c r="D131" s="101"/>
      <c r="E131" s="101"/>
      <c r="F131" s="102"/>
      <c r="G131" s="33" t="s">
        <v>33</v>
      </c>
    </row>
    <row r="132" spans="1:7">
      <c r="A132" s="34"/>
      <c r="B132" s="35"/>
      <c r="C132" s="36" t="s">
        <v>17</v>
      </c>
      <c r="D132" s="36" t="s">
        <v>18</v>
      </c>
      <c r="E132" s="36" t="s">
        <v>10</v>
      </c>
      <c r="F132" s="36" t="s">
        <v>80</v>
      </c>
      <c r="G132" s="37"/>
    </row>
    <row r="133" spans="1:7">
      <c r="A133" s="34" t="s">
        <v>15</v>
      </c>
      <c r="B133" s="47">
        <f>B13+B42+B56+B71+B72+B73+B85+B98+B99+B100+B101+B102+B120</f>
        <v>558062</v>
      </c>
      <c r="C133" s="47">
        <f>C13+C42+C56+C71+C72+C73+C85+C98+C99+C100+C101+C102+C120</f>
        <v>348031.16000000003</v>
      </c>
      <c r="D133" s="47">
        <f>D13+D42+D56+D71+D72+D73+D85+D98+D99+D100+D101+D102+D120</f>
        <v>142942.97399999999</v>
      </c>
      <c r="E133" s="47">
        <f>E13+E42+E56+E71+E72+E73+E85+E98+E99+E100+E101+E102+E120</f>
        <v>490974.13400000002</v>
      </c>
      <c r="F133" s="47">
        <f>E133*0.9</f>
        <v>441876.7206</v>
      </c>
      <c r="G133" s="37" t="s">
        <v>79</v>
      </c>
    </row>
    <row r="134" spans="1:7">
      <c r="A134" s="34" t="s">
        <v>41</v>
      </c>
      <c r="B134" s="47">
        <f t="shared" ref="B134:E135" si="1">B28</f>
        <v>4230</v>
      </c>
      <c r="C134" s="47">
        <f t="shared" si="1"/>
        <v>7191</v>
      </c>
      <c r="D134" s="47">
        <f t="shared" si="1"/>
        <v>4230</v>
      </c>
      <c r="E134" s="47">
        <f t="shared" si="1"/>
        <v>11421</v>
      </c>
      <c r="F134" s="47">
        <f t="shared" ref="F134:F139" si="2">E134*0.9</f>
        <v>10278.9</v>
      </c>
      <c r="G134" s="37" t="s">
        <v>79</v>
      </c>
    </row>
    <row r="135" spans="1:7">
      <c r="A135" s="34" t="s">
        <v>24</v>
      </c>
      <c r="B135" s="47">
        <f t="shared" si="1"/>
        <v>30000</v>
      </c>
      <c r="C135" s="47">
        <f t="shared" si="1"/>
        <v>42000</v>
      </c>
      <c r="D135" s="47">
        <f t="shared" si="1"/>
        <v>30000</v>
      </c>
      <c r="E135" s="47">
        <f t="shared" si="1"/>
        <v>72000</v>
      </c>
      <c r="F135" s="47">
        <f t="shared" si="2"/>
        <v>64800</v>
      </c>
      <c r="G135" s="37" t="s">
        <v>79</v>
      </c>
    </row>
    <row r="136" spans="1:7">
      <c r="A136" s="34" t="s">
        <v>49</v>
      </c>
      <c r="B136" s="47">
        <f>B57</f>
        <v>700</v>
      </c>
      <c r="C136" s="47">
        <f>C57</f>
        <v>280</v>
      </c>
      <c r="D136" s="47">
        <f>D57</f>
        <v>140</v>
      </c>
      <c r="E136" s="47">
        <f>E57</f>
        <v>420</v>
      </c>
      <c r="F136" s="47">
        <f t="shared" si="2"/>
        <v>378</v>
      </c>
      <c r="G136" s="37" t="s">
        <v>79</v>
      </c>
    </row>
    <row r="137" spans="1:7">
      <c r="A137" s="34" t="s">
        <v>62</v>
      </c>
      <c r="B137" s="47">
        <f>B103</f>
        <v>1619</v>
      </c>
      <c r="C137" s="47">
        <f>C103</f>
        <v>330</v>
      </c>
      <c r="D137" s="47">
        <f>D103</f>
        <v>108</v>
      </c>
      <c r="E137" s="47">
        <f>E103</f>
        <v>438</v>
      </c>
      <c r="F137" s="47">
        <f t="shared" si="2"/>
        <v>394.2</v>
      </c>
      <c r="G137" s="37" t="s">
        <v>79</v>
      </c>
    </row>
    <row r="138" spans="1:7">
      <c r="A138" s="34" t="s">
        <v>23</v>
      </c>
      <c r="B138" s="47">
        <f>B104+B121</f>
        <v>6332</v>
      </c>
      <c r="C138" s="47">
        <f>C104+C121</f>
        <v>2145</v>
      </c>
      <c r="D138" s="47">
        <f>D104+D121</f>
        <v>2907</v>
      </c>
      <c r="E138" s="47">
        <f>E104+E121</f>
        <v>5052</v>
      </c>
      <c r="F138" s="47">
        <f t="shared" si="2"/>
        <v>4546.8</v>
      </c>
      <c r="G138" s="37" t="s">
        <v>79</v>
      </c>
    </row>
    <row r="139" spans="1:7">
      <c r="A139" s="34" t="s">
        <v>64</v>
      </c>
      <c r="B139" s="47">
        <f t="shared" ref="B139:E139" si="3">B105</f>
        <v>14412</v>
      </c>
      <c r="C139" s="47">
        <f t="shared" si="3"/>
        <v>14412</v>
      </c>
      <c r="D139" s="47">
        <f t="shared" si="3"/>
        <v>17294.400000000001</v>
      </c>
      <c r="E139" s="47">
        <f t="shared" si="3"/>
        <v>31706.400000000001</v>
      </c>
      <c r="F139" s="47">
        <f t="shared" si="2"/>
        <v>28535.760000000002</v>
      </c>
      <c r="G139" s="37" t="s">
        <v>79</v>
      </c>
    </row>
    <row r="140" spans="1:7" ht="13.5" thickBot="1">
      <c r="A140" s="53" t="s">
        <v>66</v>
      </c>
      <c r="B140" s="50">
        <f>B106</f>
        <v>2470</v>
      </c>
      <c r="C140" s="50">
        <f>C106</f>
        <v>0</v>
      </c>
      <c r="D140" s="50">
        <f>D106</f>
        <v>0</v>
      </c>
      <c r="E140" s="50">
        <f>E106</f>
        <v>0</v>
      </c>
      <c r="F140" s="50"/>
      <c r="G140" s="54"/>
    </row>
    <row r="141" spans="1:7" ht="14.25" thickTop="1" thickBot="1">
      <c r="A141" s="61" t="s">
        <v>10</v>
      </c>
      <c r="B141" s="62">
        <f>SUM(B133:B140)</f>
        <v>617825</v>
      </c>
      <c r="C141" s="62">
        <f>SUM(C133:C140)</f>
        <v>414389.16000000003</v>
      </c>
      <c r="D141" s="62">
        <f>SUM(D133:D140)</f>
        <v>197622.37399999998</v>
      </c>
      <c r="E141" s="62">
        <f>SUM(E133:E140)</f>
        <v>612011.5340000001</v>
      </c>
      <c r="F141" s="62">
        <f>SUM(F133:F140)</f>
        <v>550810.38060000003</v>
      </c>
      <c r="G141" s="63"/>
    </row>
    <row r="142" spans="1:7" ht="13.5" thickTop="1"/>
    <row r="145" spans="1:2">
      <c r="A145" t="s">
        <v>74</v>
      </c>
      <c r="B145">
        <f>E15+E31+E44+E59+E75+E87+E108+E123</f>
        <v>365427</v>
      </c>
    </row>
  </sheetData>
  <mergeCells count="10">
    <mergeCell ref="C131:F131"/>
    <mergeCell ref="C83:E83"/>
    <mergeCell ref="C96:E96"/>
    <mergeCell ref="C118:E118"/>
    <mergeCell ref="A1:F1"/>
    <mergeCell ref="C10:E10"/>
    <mergeCell ref="C25:E25"/>
    <mergeCell ref="C39:E39"/>
    <mergeCell ref="C53:E53"/>
    <mergeCell ref="C69:E69"/>
  </mergeCells>
  <pageMargins left="0.75" right="0.75" top="1" bottom="1" header="0.5" footer="0.5"/>
  <pageSetup paperSize="9" scale="79" orientation="portrait" verticalDpi="300" r:id="rId1"/>
  <headerFooter alignWithMargins="0"/>
  <rowBreaks count="1" manualBreakCount="1">
    <brk id="3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rightToLeft="1" topLeftCell="A5" zoomScaleNormal="100" zoomScaleSheetLayoutView="75" workbookViewId="0">
      <selection activeCell="D32" sqref="D32"/>
    </sheetView>
  </sheetViews>
  <sheetFormatPr defaultRowHeight="12.75"/>
  <cols>
    <col min="1" max="1" width="61" customWidth="1"/>
    <col min="2" max="3" width="19.5703125" bestFit="1" customWidth="1"/>
    <col min="5" max="5" width="21.7109375" bestFit="1" customWidth="1"/>
    <col min="7" max="7" width="18.42578125" bestFit="1" customWidth="1"/>
  </cols>
  <sheetData>
    <row r="1" spans="1:5" ht="20.25">
      <c r="A1" s="104" t="s">
        <v>75</v>
      </c>
      <c r="B1" s="104"/>
      <c r="C1" s="104"/>
      <c r="D1" s="15"/>
      <c r="E1" s="15"/>
    </row>
    <row r="2" spans="1:5" ht="20.25">
      <c r="A2" s="105" t="s">
        <v>11</v>
      </c>
      <c r="B2" s="105"/>
      <c r="C2" s="105"/>
      <c r="D2" s="15"/>
      <c r="E2" s="15"/>
    </row>
    <row r="3" spans="1:5" ht="20.25">
      <c r="A3" s="105"/>
      <c r="B3" s="105"/>
      <c r="C3" s="105"/>
      <c r="D3" s="15"/>
      <c r="E3" s="15"/>
    </row>
    <row r="4" spans="1:5" ht="20.25">
      <c r="A4" s="16"/>
      <c r="B4" s="16"/>
      <c r="C4" s="16"/>
      <c r="D4" s="15"/>
      <c r="E4" s="15"/>
    </row>
    <row r="5" spans="1:5" ht="20.25">
      <c r="A5" s="30" t="s">
        <v>76</v>
      </c>
      <c r="B5" s="23"/>
      <c r="C5" s="23"/>
      <c r="D5" s="15"/>
      <c r="E5" s="15"/>
    </row>
    <row r="6" spans="1:5" ht="20.25">
      <c r="A6" s="30" t="s">
        <v>81</v>
      </c>
      <c r="B6" s="64"/>
      <c r="C6" s="64"/>
      <c r="D6" s="15"/>
      <c r="E6" s="15"/>
    </row>
    <row r="7" spans="1:5" ht="20.25">
      <c r="A7" s="30"/>
      <c r="B7" s="64"/>
      <c r="C7" s="64"/>
      <c r="D7" s="15"/>
      <c r="E7" s="15"/>
    </row>
    <row r="8" spans="1:5" ht="20.25">
      <c r="A8" s="30" t="s">
        <v>82</v>
      </c>
      <c r="B8" s="64"/>
      <c r="C8" s="64"/>
      <c r="D8" s="15"/>
      <c r="E8" s="15"/>
    </row>
    <row r="9" spans="1:5" ht="21" thickBot="1">
      <c r="A9" s="30"/>
      <c r="B9" s="64"/>
      <c r="C9" s="64"/>
      <c r="D9" s="15"/>
      <c r="E9" s="15"/>
    </row>
    <row r="10" spans="1:5" ht="21" thickTop="1">
      <c r="A10" s="78" t="s">
        <v>92</v>
      </c>
      <c r="B10" s="74">
        <f>4330926/1.18</f>
        <v>3670276.2711864407</v>
      </c>
      <c r="C10" s="64"/>
      <c r="D10" s="15"/>
      <c r="E10" s="15"/>
    </row>
    <row r="11" spans="1:5" ht="20.25">
      <c r="A11" s="72" t="s">
        <v>83</v>
      </c>
      <c r="B11" s="75"/>
      <c r="C11" s="64"/>
      <c r="D11" s="15"/>
      <c r="E11" s="15"/>
    </row>
    <row r="12" spans="1:5" ht="20.25">
      <c r="A12" s="72" t="s">
        <v>84</v>
      </c>
      <c r="B12" s="75">
        <v>-126662</v>
      </c>
      <c r="C12" s="64"/>
      <c r="D12" s="15"/>
      <c r="E12" s="15"/>
    </row>
    <row r="13" spans="1:5" ht="20.25">
      <c r="A13" s="72" t="s">
        <v>85</v>
      </c>
      <c r="B13" s="75">
        <v>-357129</v>
      </c>
      <c r="C13" s="64"/>
      <c r="D13" s="15"/>
      <c r="E13" s="15"/>
    </row>
    <row r="14" spans="1:5" ht="20.25">
      <c r="A14" s="72" t="s">
        <v>86</v>
      </c>
      <c r="B14" s="75">
        <v>-94696</v>
      </c>
      <c r="C14" s="64"/>
      <c r="D14" s="15"/>
      <c r="E14" s="15"/>
    </row>
    <row r="15" spans="1:5" ht="20.25">
      <c r="A15" s="72" t="s">
        <v>87</v>
      </c>
      <c r="B15" s="75">
        <v>-101335</v>
      </c>
      <c r="C15" s="64"/>
      <c r="D15" s="15"/>
      <c r="E15" s="15"/>
    </row>
    <row r="16" spans="1:5" ht="20.25">
      <c r="A16" s="72" t="s">
        <v>88</v>
      </c>
      <c r="B16" s="75">
        <v>-133654</v>
      </c>
      <c r="C16" s="64"/>
      <c r="D16" s="15"/>
      <c r="E16" s="15"/>
    </row>
    <row r="17" spans="1:5" ht="20.25">
      <c r="A17" s="79" t="s">
        <v>89</v>
      </c>
      <c r="B17" s="80">
        <f>SUM(B12:B16)</f>
        <v>-813476</v>
      </c>
      <c r="C17" s="64"/>
      <c r="D17" s="15"/>
      <c r="E17" s="15"/>
    </row>
    <row r="18" spans="1:5" ht="21" thickBot="1">
      <c r="A18" s="73" t="s">
        <v>91</v>
      </c>
      <c r="B18" s="76">
        <f>B17+B10</f>
        <v>2856800.2711864407</v>
      </c>
      <c r="C18" s="64"/>
      <c r="D18" s="15"/>
      <c r="E18" s="15"/>
    </row>
    <row r="19" spans="1:5" ht="21" thickTop="1">
      <c r="A19" s="72" t="s">
        <v>93</v>
      </c>
      <c r="B19" s="75">
        <f>B18*0.18</f>
        <v>514224.04881355929</v>
      </c>
      <c r="C19" s="64"/>
      <c r="D19" s="15"/>
      <c r="E19" s="15"/>
    </row>
    <row r="20" spans="1:5" ht="20.25">
      <c r="A20" s="72" t="s">
        <v>12</v>
      </c>
      <c r="B20" s="75">
        <f>B18+B19</f>
        <v>3371024.32</v>
      </c>
      <c r="C20" s="64"/>
      <c r="D20" s="15"/>
      <c r="E20" s="15"/>
    </row>
    <row r="21" spans="1:5" ht="20.25">
      <c r="A21" s="71"/>
      <c r="B21" s="81"/>
      <c r="C21" s="64"/>
      <c r="D21" s="15"/>
      <c r="E21" s="15"/>
    </row>
    <row r="22" spans="1:5" ht="20.25">
      <c r="A22" s="71" t="s">
        <v>94</v>
      </c>
      <c r="B22" s="82">
        <v>6143</v>
      </c>
      <c r="C22" s="64"/>
      <c r="D22" s="15"/>
      <c r="E22" s="15"/>
    </row>
    <row r="23" spans="1:5" ht="20.25">
      <c r="A23" s="71" t="s">
        <v>95</v>
      </c>
      <c r="B23" s="83">
        <f>B20/B22</f>
        <v>548.75863910141618</v>
      </c>
      <c r="C23" s="64"/>
      <c r="D23" s="15"/>
      <c r="E23" s="15"/>
    </row>
    <row r="24" spans="1:5" ht="20.25">
      <c r="A24" s="71" t="s">
        <v>96</v>
      </c>
      <c r="B24" s="82">
        <f>'עתלית 2014'!B145</f>
        <v>365427</v>
      </c>
      <c r="C24" s="64"/>
      <c r="D24" s="15"/>
      <c r="E24" s="15"/>
    </row>
    <row r="25" spans="1:5" ht="20.25">
      <c r="A25" s="23"/>
      <c r="B25" s="23" t="s">
        <v>97</v>
      </c>
      <c r="C25" s="23" t="s">
        <v>98</v>
      </c>
      <c r="D25" s="15"/>
      <c r="E25" s="15" t="s">
        <v>90</v>
      </c>
    </row>
    <row r="26" spans="1:5" s="69" customFormat="1" ht="19.5" thickBot="1">
      <c r="A26" s="66" t="s">
        <v>13</v>
      </c>
      <c r="B26" s="67">
        <f>B24*B23*0.6</f>
        <v>120318733.92654793</v>
      </c>
      <c r="C26" s="68">
        <f>B23*B24*0.4</f>
        <v>80212489.284365281</v>
      </c>
      <c r="E26" s="70">
        <f>B26+C26</f>
        <v>200531223.21091321</v>
      </c>
    </row>
    <row r="27" spans="1:5" ht="13.5" thickTop="1"/>
  </sheetData>
  <mergeCells count="3">
    <mergeCell ref="A1:C1"/>
    <mergeCell ref="A2:C2"/>
    <mergeCell ref="A3:C3"/>
  </mergeCells>
  <phoneticPr fontId="2" type="noConversion"/>
  <pageMargins left="0.75" right="0.75" top="1" bottom="1" header="0.5" footer="0.5"/>
  <pageSetup paperSize="9" orientation="landscape" r:id="rId1"/>
  <headerFooter alignWithMargins="0">
    <oddHeader>&amp;L&amp;D&amp;Cטיוטא ראשונה לדיון&amp;R&amp;F</oddHeader>
    <oddFooter>&amp;L&amp;A&amp;Cטיוטא ראשונה לדיון&amp;Rנערך ע"י אורבניקס בע"מ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rightToLeft="1" tabSelected="1" workbookViewId="0">
      <selection activeCell="C16" sqref="C16"/>
    </sheetView>
  </sheetViews>
  <sheetFormatPr defaultRowHeight="15.75"/>
  <cols>
    <col min="1" max="1" width="24" style="2" customWidth="1"/>
    <col min="2" max="2" width="20.42578125" style="2" customWidth="1"/>
    <col min="3" max="3" width="11.28515625" style="2" customWidth="1"/>
    <col min="4" max="4" width="40" style="2" customWidth="1"/>
    <col min="5" max="5" width="23.7109375" style="2" customWidth="1"/>
    <col min="6" max="6" width="21.28515625" style="2" customWidth="1"/>
    <col min="7" max="7" width="23.5703125" style="2" customWidth="1"/>
    <col min="8" max="8" width="12.85546875" style="2" customWidth="1"/>
    <col min="9" max="9" width="9.140625" style="2"/>
    <col min="10" max="10" width="12.42578125" style="2" bestFit="1" customWidth="1"/>
    <col min="11" max="16384" width="9.140625" style="2"/>
  </cols>
  <sheetData>
    <row r="1" spans="1:10" ht="20.25">
      <c r="A1" s="108" t="s">
        <v>75</v>
      </c>
      <c r="B1" s="108"/>
    </row>
    <row r="2" spans="1:10" ht="20.25">
      <c r="A2" s="1"/>
      <c r="B2" s="1"/>
    </row>
    <row r="3" spans="1:10" s="4" customFormat="1">
      <c r="A3" s="107" t="s">
        <v>0</v>
      </c>
      <c r="B3" s="107"/>
      <c r="D3" s="4" t="s">
        <v>78</v>
      </c>
    </row>
    <row r="4" spans="1:10" s="4" customFormat="1">
      <c r="A4" s="3" t="s">
        <v>77</v>
      </c>
      <c r="B4" s="3"/>
    </row>
    <row r="5" spans="1:10" s="4" customFormat="1">
      <c r="A5" s="107"/>
      <c r="B5" s="107"/>
    </row>
    <row r="6" spans="1:10" s="4" customFormat="1">
      <c r="A6" s="3"/>
      <c r="B6" s="3"/>
    </row>
    <row r="7" spans="1:10" s="4" customFormat="1" ht="16.5" thickBot="1">
      <c r="A7" s="107" t="s">
        <v>1</v>
      </c>
      <c r="B7" s="107"/>
    </row>
    <row r="8" spans="1:10">
      <c r="A8" s="5" t="s">
        <v>2</v>
      </c>
      <c r="B8" s="6">
        <f>'עתלית 2014'!F141</f>
        <v>550810.38060000003</v>
      </c>
      <c r="D8" s="4" t="s">
        <v>3</v>
      </c>
      <c r="E8" s="7">
        <v>0.9</v>
      </c>
    </row>
    <row r="9" spans="1:10">
      <c r="A9" s="8" t="s">
        <v>4</v>
      </c>
      <c r="B9" s="9">
        <f>'עתלית 2014'!B141</f>
        <v>617825</v>
      </c>
      <c r="E9" s="19"/>
    </row>
    <row r="10" spans="1:10" ht="16.5" thickBot="1">
      <c r="A10" s="8" t="s">
        <v>5</v>
      </c>
      <c r="B10" s="9">
        <v>121000</v>
      </c>
    </row>
    <row r="11" spans="1:10">
      <c r="A11" s="10" t="s">
        <v>6</v>
      </c>
      <c r="B11" s="26">
        <v>81.431360418006321</v>
      </c>
      <c r="C11" s="25">
        <f>B11/E8</f>
        <v>90.479289353340349</v>
      </c>
      <c r="E11" s="106"/>
      <c r="F11" s="106"/>
      <c r="G11" s="106"/>
      <c r="H11" s="106"/>
      <c r="I11" s="106"/>
    </row>
    <row r="12" spans="1:10">
      <c r="A12" s="10" t="s">
        <v>7</v>
      </c>
      <c r="B12" s="65">
        <f>B11*1.5</f>
        <v>122.14704062700949</v>
      </c>
      <c r="C12" s="27">
        <f>B12/E8</f>
        <v>135.71893403001053</v>
      </c>
      <c r="E12" s="20"/>
    </row>
    <row r="13" spans="1:10">
      <c r="A13" s="98" t="s">
        <v>104</v>
      </c>
      <c r="B13" s="65">
        <f>B11/4.5</f>
        <v>18.09585787066807</v>
      </c>
      <c r="C13" s="27">
        <f>B13/E8</f>
        <v>20.106508745186744</v>
      </c>
    </row>
    <row r="14" spans="1:10" ht="16.5" thickBot="1">
      <c r="A14" s="11" t="s">
        <v>8</v>
      </c>
      <c r="B14" s="12">
        <f>B8*B11+B9*B12</f>
        <v>120318733.99999997</v>
      </c>
    </row>
    <row r="15" spans="1:10">
      <c r="A15" s="13"/>
      <c r="B15" s="14"/>
      <c r="D15" s="24"/>
      <c r="F15" s="21"/>
      <c r="H15" s="97"/>
      <c r="I15" s="21"/>
      <c r="J15" s="21"/>
    </row>
    <row r="16" spans="1:10">
      <c r="D16" s="24"/>
      <c r="F16" s="21"/>
      <c r="H16" s="97"/>
      <c r="I16" s="21"/>
      <c r="J16" s="21"/>
    </row>
    <row r="17" spans="1:10" ht="16.5" thickBot="1">
      <c r="A17" s="107" t="s">
        <v>9</v>
      </c>
      <c r="B17" s="107"/>
      <c r="C17" s="4"/>
      <c r="D17" s="7"/>
      <c r="E17" s="20"/>
      <c r="F17" s="22"/>
      <c r="H17" s="22"/>
      <c r="J17" s="21"/>
    </row>
    <row r="18" spans="1:10">
      <c r="A18" s="5" t="s">
        <v>2</v>
      </c>
      <c r="B18" s="6">
        <f>B8</f>
        <v>550810.38060000003</v>
      </c>
      <c r="J18" s="21"/>
    </row>
    <row r="19" spans="1:10">
      <c r="A19" s="8" t="s">
        <v>4</v>
      </c>
      <c r="B19" s="9">
        <f>B9</f>
        <v>617825</v>
      </c>
      <c r="G19" s="28"/>
      <c r="H19" s="29"/>
    </row>
    <row r="20" spans="1:10" ht="16.5" thickBot="1">
      <c r="A20" s="8" t="s">
        <v>5</v>
      </c>
      <c r="B20" s="9">
        <f>+'ריכוז עלויות'!C26</f>
        <v>80212489.284365281</v>
      </c>
    </row>
    <row r="21" spans="1:10">
      <c r="A21" s="10" t="s">
        <v>6</v>
      </c>
      <c r="B21" s="26">
        <v>54.287573386405221</v>
      </c>
      <c r="C21" s="25">
        <f>B21/E8</f>
        <v>60.319525984894689</v>
      </c>
    </row>
    <row r="22" spans="1:10">
      <c r="A22" s="10" t="s">
        <v>7</v>
      </c>
      <c r="B22" s="65">
        <f>B21*1.5</f>
        <v>81.431360079607828</v>
      </c>
      <c r="C22" s="27">
        <f>B22/E8</f>
        <v>90.479288977342023</v>
      </c>
      <c r="D22" s="21"/>
    </row>
    <row r="23" spans="1:10">
      <c r="A23" s="98" t="s">
        <v>104</v>
      </c>
      <c r="B23" s="65">
        <f>B21/4.5</f>
        <v>12.063905196978938</v>
      </c>
      <c r="C23" s="27">
        <f>B23/E8</f>
        <v>13.404339107754375</v>
      </c>
    </row>
    <row r="24" spans="1:10" ht="16.5" thickBot="1">
      <c r="A24" s="11" t="s">
        <v>8</v>
      </c>
      <c r="B24" s="12">
        <f>B18*B21+B19*B22</f>
        <v>80212489</v>
      </c>
      <c r="E24" s="20"/>
    </row>
    <row r="25" spans="1:10">
      <c r="E25" s="20"/>
      <c r="G25" s="21"/>
    </row>
    <row r="26" spans="1:10">
      <c r="C26" s="21"/>
      <c r="E26" s="20"/>
      <c r="G26" s="21"/>
    </row>
    <row r="31" spans="1:10">
      <c r="D31" s="24"/>
      <c r="H31" s="21"/>
    </row>
    <row r="32" spans="1:10">
      <c r="D32" s="24"/>
      <c r="H32" s="21"/>
    </row>
    <row r="33" spans="5:8">
      <c r="H33" s="84"/>
    </row>
    <row r="35" spans="5:8">
      <c r="F35" s="77"/>
      <c r="G35" s="77"/>
      <c r="H35" s="77"/>
    </row>
    <row r="43" spans="5:8">
      <c r="E43" s="2" t="s">
        <v>99</v>
      </c>
    </row>
    <row r="44" spans="5:8" ht="16.5" thickBot="1"/>
    <row r="45" spans="5:8" ht="16.5" thickTop="1">
      <c r="E45" s="89"/>
      <c r="F45" s="90" t="s">
        <v>101</v>
      </c>
      <c r="G45" s="91" t="s">
        <v>102</v>
      </c>
    </row>
    <row r="46" spans="5:8">
      <c r="E46" s="18" t="s">
        <v>100</v>
      </c>
      <c r="F46" s="92">
        <f>C11</f>
        <v>90.479289353340349</v>
      </c>
      <c r="G46" s="93">
        <f>C12</f>
        <v>135.71893403001053</v>
      </c>
    </row>
    <row r="47" spans="5:8" ht="16.5" thickBot="1">
      <c r="E47" s="94" t="s">
        <v>103</v>
      </c>
      <c r="F47" s="95">
        <f>C21</f>
        <v>60.319525984894689</v>
      </c>
      <c r="G47" s="96">
        <f>C22</f>
        <v>90.479288977342023</v>
      </c>
    </row>
    <row r="48" spans="5:8" ht="16.5" thickTop="1"/>
  </sheetData>
  <mergeCells count="6">
    <mergeCell ref="E11:I11"/>
    <mergeCell ref="A3:B3"/>
    <mergeCell ref="A1:B1"/>
    <mergeCell ref="A17:B17"/>
    <mergeCell ref="A7:B7"/>
    <mergeCell ref="A5:B5"/>
  </mergeCells>
  <phoneticPr fontId="2" type="noConversion"/>
  <pageMargins left="0.75" right="0.75" top="1" bottom="1" header="0.5" footer="0.5"/>
  <pageSetup paperSize="9" orientation="portrait" r:id="rId1"/>
  <headerFooter alignWithMargins="0">
    <oddHeader>&amp;L&amp;D&amp;Cטיוטא ראשונה לדיון&amp;R&amp;F</oddHeader>
    <oddFooter>&amp;L&amp;A&amp;Cטיוטא ראשונה לדיון&amp;Rנערך ע"י אורבניקס בע"מ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3</vt:i4>
      </vt:variant>
    </vt:vector>
  </HeadingPairs>
  <TitlesOfParts>
    <vt:vector size="9" baseType="lpstr">
      <vt:lpstr>שטחים לוורד</vt:lpstr>
      <vt:lpstr>עתלית 2014</vt:lpstr>
      <vt:lpstr>ריכוז עלויות</vt:lpstr>
      <vt:lpstr>תחשיב היטל - 1</vt:lpstr>
      <vt:lpstr>Sheet2</vt:lpstr>
      <vt:lpstr>Sheet3</vt:lpstr>
      <vt:lpstr>'עתלית 2014'!WPrint_Area_W</vt:lpstr>
      <vt:lpstr>'ריכוז עלויות'!WPrint_Area_W</vt:lpstr>
      <vt:lpstr>'שטחים לוורד'!WPrint_Area_W</vt:lpstr>
    </vt:vector>
  </TitlesOfParts>
  <Company>bbs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צבי אורבניקס בעמ</cp:lastModifiedBy>
  <cp:lastPrinted>2014-11-16T13:08:00Z</cp:lastPrinted>
  <dcterms:created xsi:type="dcterms:W3CDTF">2009-11-18T10:52:09Z</dcterms:created>
  <dcterms:modified xsi:type="dcterms:W3CDTF">2015-06-17T06:45:00Z</dcterms:modified>
</cp:coreProperties>
</file>